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1110" windowWidth="11340" windowHeight="6795" tabRatio="854" activeTab="0"/>
  </bookViews>
  <sheets>
    <sheet name="4 YR" sheetId="1" r:id="rId1"/>
    <sheet name="Notes-4yr" sheetId="2" r:id="rId2"/>
    <sheet name="2 YR" sheetId="3" r:id="rId3"/>
    <sheet name="Notes-2yr" sheetId="4" r:id="rId4"/>
    <sheet name="Mandatory Fees-4yr" sheetId="5" r:id="rId5"/>
    <sheet name="Non-Mand Fees 4yr" sheetId="6" r:id="rId6"/>
    <sheet name="Mandatory Fees 2yr" sheetId="7" r:id="rId7"/>
    <sheet name="Non-Mand Fees 2yr" sheetId="8" r:id="rId8"/>
    <sheet name="4yr Sum" sheetId="9" r:id="rId9"/>
    <sheet name="2yr Sum" sheetId="10" r:id="rId10"/>
  </sheets>
  <externalReferences>
    <externalReference r:id="rId13"/>
    <externalReference r:id="rId14"/>
  </externalReferences>
  <definedNames>
    <definedName name="\P">#REF!</definedName>
    <definedName name="G" localSheetId="9">#REF!</definedName>
    <definedName name="G" localSheetId="8">#REF!</definedName>
    <definedName name="G">#REF!</definedName>
    <definedName name="lkj">#REF!</definedName>
    <definedName name="PAGE1" localSheetId="8">'4yr Sum'!$A$1:$J$3</definedName>
    <definedName name="PAGE1" localSheetId="6">#REF!</definedName>
    <definedName name="PAGE1" localSheetId="4">#REF!</definedName>
    <definedName name="PAGE1" localSheetId="7">#REF!</definedName>
    <definedName name="PAGE1" localSheetId="5">#REF!</definedName>
    <definedName name="PAGE1">'2yr Sum'!$A$1:$J$3</definedName>
    <definedName name="PAGE2" localSheetId="8">'4yr Sum'!$N$1:$AL$38</definedName>
    <definedName name="PAGE2" localSheetId="6">#REF!</definedName>
    <definedName name="PAGE2" localSheetId="4">#REF!</definedName>
    <definedName name="PAGE2" localSheetId="7">#REF!</definedName>
    <definedName name="PAGE2" localSheetId="5">#REF!</definedName>
    <definedName name="PAGE2">'2yr Sum'!$N$1:$AM$3</definedName>
    <definedName name="PAGE3" localSheetId="8">'4yr Sum'!$V$1:$AO$38</definedName>
    <definedName name="PAGE3" localSheetId="6">#REF!</definedName>
    <definedName name="PAGE3" localSheetId="4">#REF!</definedName>
    <definedName name="PAGE3" localSheetId="7">#REF!</definedName>
    <definedName name="PAGE3" localSheetId="5">#REF!</definedName>
    <definedName name="PAGE3">'2yr Sum'!$Y$1:$AQ$3</definedName>
    <definedName name="PAGE4" localSheetId="8">'4yr Sum'!$S$1:$AO$38</definedName>
    <definedName name="PAGE4" localSheetId="6">#REF!</definedName>
    <definedName name="PAGE4" localSheetId="4">#REF!</definedName>
    <definedName name="PAGE4" localSheetId="7">#REF!</definedName>
    <definedName name="PAGE4" localSheetId="5">#REF!</definedName>
    <definedName name="PAGE4">'2yr Sum'!$S$1:$AR$3</definedName>
    <definedName name="PAGE5" localSheetId="9">'2yr Sum'!$A$1:$J$3,'2yr Sum'!$N$1:$AM$3,'2yr Sum'!$Y$1:$AQ$3,'2yr Sum'!$S$1:$AR$3</definedName>
    <definedName name="PAGE5" localSheetId="8">'4yr Sum'!$A$1:$J$3,'4yr Sum'!$N$1:$AL$38,'4yr Sum'!$V$1:$AO$38,'4yr Sum'!$S$1:$AO$38</definedName>
    <definedName name="PAGE5">'[2]Two YR'!$A$1:$J$3,'[2]Two YR'!$L$1:$AE$3,'[2]Two YR'!$Q$1:$AI$3,'[2]Two YR'!$P$1:$AJ$3</definedName>
    <definedName name="PAGE6">#REF!</definedName>
    <definedName name="PAGE7">#REF!</definedName>
    <definedName name="_xlnm.Print_Area" localSheetId="2">'2 YR'!$A$1:$K$74</definedName>
    <definedName name="_xlnm.Print_Area" localSheetId="9">'2yr Sum'!$A$1:$X$60</definedName>
    <definedName name="_xlnm.Print_Area" localSheetId="0">'4 YR'!$A$1:$O$115</definedName>
    <definedName name="_xlnm.Print_Area" localSheetId="8">'4yr Sum'!$A$1:$X$36</definedName>
    <definedName name="_xlnm.Print_Area" localSheetId="6">'Mandatory Fees 2yr'!$A$1:$J$35</definedName>
    <definedName name="_xlnm.Print_Area" localSheetId="4">'Mandatory Fees-4yr'!$A$1:$N$43</definedName>
    <definedName name="_xlnm.Print_Area" localSheetId="7">'Non-Mand Fees 2yr'!$A$1:$B$84</definedName>
    <definedName name="_xlnm.Print_Area" localSheetId="5">'Non-Mand Fees 4yr'!$A$1:$B$64</definedName>
    <definedName name="_xlnm.Print_Area" localSheetId="1">'Notes-4yr'!$A$1:$H$183</definedName>
    <definedName name="_xlnm.Print_Titles" localSheetId="2">'2 YR'!$1:$7</definedName>
    <definedName name="_xlnm.Print_Titles" localSheetId="0">'4 YR'!$1:$7</definedName>
    <definedName name="_xlnm.Print_Titles" localSheetId="7">'Non-Mand Fees 2yr'!$1:$2</definedName>
    <definedName name="UNR" localSheetId="9">#REF!</definedName>
    <definedName name="UNR" localSheetId="8">#REF!</definedName>
    <definedName name="UNR">#REF!</definedName>
    <definedName name="UR" localSheetId="9">#REF!</definedName>
    <definedName name="UR" localSheetId="8">#REF!</definedName>
    <definedName name="UR">#REF!</definedName>
  </definedNames>
  <calcPr fullCalcOnLoad="1"/>
</workbook>
</file>

<file path=xl/comments1.xml><?xml version="1.0" encoding="utf-8"?>
<comments xmlns="http://schemas.openxmlformats.org/spreadsheetml/2006/main">
  <authors>
    <author>johnd</author>
  </authors>
  <commentList>
    <comment ref="F7" authorId="0">
      <text>
        <r>
          <rPr>
            <b/>
            <sz val="8"/>
            <rFont val="Tahoma"/>
            <family val="2"/>
          </rPr>
          <t>johnd:</t>
        </r>
        <r>
          <rPr>
            <sz val="8"/>
            <rFont val="Tahoma"/>
            <family val="2"/>
          </rPr>
          <t xml:space="preserve">
See the Notes sheet for clarification on some of the institutions on which fees were included.</t>
        </r>
      </text>
    </comment>
  </commentList>
</comments>
</file>

<file path=xl/comments3.xml><?xml version="1.0" encoding="utf-8"?>
<comments xmlns="http://schemas.openxmlformats.org/spreadsheetml/2006/main">
  <authors>
    <author>johnd</author>
  </authors>
  <commentList>
    <comment ref="F7" authorId="0">
      <text>
        <r>
          <rPr>
            <b/>
            <sz val="8"/>
            <rFont val="Tahoma"/>
            <family val="2"/>
          </rPr>
          <t>johnd:</t>
        </r>
        <r>
          <rPr>
            <sz val="8"/>
            <rFont val="Tahoma"/>
            <family val="2"/>
          </rPr>
          <t xml:space="preserve">
See the Notes sheet for clarification on some of the institutions on which fees were included.</t>
        </r>
      </text>
    </comment>
  </commentList>
</comments>
</file>

<file path=xl/sharedStrings.xml><?xml version="1.0" encoding="utf-8"?>
<sst xmlns="http://schemas.openxmlformats.org/spreadsheetml/2006/main" count="1742" uniqueCount="551">
  <si>
    <t>SCHEDULE 18-1</t>
  </si>
  <si>
    <t>ATU</t>
  </si>
  <si>
    <t>HSU</t>
  </si>
  <si>
    <t>SAUM</t>
  </si>
  <si>
    <t>UAF</t>
  </si>
  <si>
    <t>UALR</t>
  </si>
  <si>
    <t>UAM</t>
  </si>
  <si>
    <t>UAPB</t>
  </si>
  <si>
    <t>UCA</t>
  </si>
  <si>
    <t>UAMS</t>
  </si>
  <si>
    <t>ASUB</t>
  </si>
  <si>
    <t>In-State U/G</t>
  </si>
  <si>
    <t>Out-of-State U/G</t>
  </si>
  <si>
    <t>ASUN</t>
  </si>
  <si>
    <t>ASUMH</t>
  </si>
  <si>
    <t>In-District U/G</t>
  </si>
  <si>
    <t>EACC</t>
  </si>
  <si>
    <t>MSCC</t>
  </si>
  <si>
    <t>NAC</t>
  </si>
  <si>
    <t>OZC</t>
  </si>
  <si>
    <t>PCCUA</t>
  </si>
  <si>
    <t>PTC</t>
  </si>
  <si>
    <t>RMCC</t>
  </si>
  <si>
    <t>SACC</t>
  </si>
  <si>
    <t>SEAC</t>
  </si>
  <si>
    <t>SAUT</t>
  </si>
  <si>
    <t>UACCH</t>
  </si>
  <si>
    <t>UACCB</t>
  </si>
  <si>
    <t xml:space="preserve">In-State U/G </t>
  </si>
  <si>
    <t xml:space="preserve">Out-of-State U/G </t>
  </si>
  <si>
    <t>CCCUA</t>
  </si>
  <si>
    <t>UACCM</t>
  </si>
  <si>
    <t>Institution</t>
  </si>
  <si>
    <t>Type of Fee</t>
  </si>
  <si>
    <t>Mandatory Fees</t>
  </si>
  <si>
    <t>Annual</t>
  </si>
  <si>
    <t>In-State Grad</t>
  </si>
  <si>
    <t>Law:   In-State</t>
  </si>
  <si>
    <t>Out-of State U/G</t>
  </si>
  <si>
    <t>Out-of State Grad</t>
  </si>
  <si>
    <t>Law:  Out-of-State</t>
  </si>
  <si>
    <t>Tuition &amp; Fees</t>
  </si>
  <si>
    <t>Tuition</t>
  </si>
  <si>
    <t>Fee</t>
  </si>
  <si>
    <t>Charge</t>
  </si>
  <si>
    <t>Grad</t>
  </si>
  <si>
    <t>Law</t>
  </si>
  <si>
    <t>Bond Fee</t>
  </si>
  <si>
    <t>Library Fee</t>
  </si>
  <si>
    <t>Assess Fee</t>
  </si>
  <si>
    <t>Athletic Fee</t>
  </si>
  <si>
    <t>regardless of student level or program study. For example, fees charged only to students in music, lab, or nursing</t>
  </si>
  <si>
    <t>or other fees unique to a given situation such as late registration and parking decals should NOT be reported</t>
  </si>
  <si>
    <t>UnderGrad</t>
  </si>
  <si>
    <t>Fine Arts Fee</t>
  </si>
  <si>
    <t>Publication Fee</t>
  </si>
  <si>
    <t>HPER Fee</t>
  </si>
  <si>
    <t>Health Fee</t>
  </si>
  <si>
    <t>Band Fee</t>
  </si>
  <si>
    <t>Technology Fee</t>
  </si>
  <si>
    <t>Infrastructure Fee</t>
  </si>
  <si>
    <t>Coop Ed Fee</t>
  </si>
  <si>
    <t>Health Services</t>
  </si>
  <si>
    <t>ASU</t>
  </si>
  <si>
    <t>Yearbook</t>
  </si>
  <si>
    <t>Assessment Fee</t>
  </si>
  <si>
    <t>Student Union Fee</t>
  </si>
  <si>
    <t>Equipment Fee</t>
  </si>
  <si>
    <t>Student Svcs</t>
  </si>
  <si>
    <t>Student Health Fee</t>
  </si>
  <si>
    <t>Student Act Fee</t>
  </si>
  <si>
    <t>Out-of-State U/G-HRP</t>
  </si>
  <si>
    <t>Transit Fee</t>
  </si>
  <si>
    <t xml:space="preserve">Out-of State U/G </t>
  </si>
  <si>
    <t>NWACC</t>
  </si>
  <si>
    <t>technology fees by discipline, then the discipline was used that would reflect the typical student.</t>
  </si>
  <si>
    <r>
      <t xml:space="preserve">as mandatory fees. Further, SREB defines full-time for purposes of tuition calculation as </t>
    </r>
    <r>
      <rPr>
        <b/>
        <sz val="10"/>
        <rFont val="Arial"/>
        <family val="2"/>
      </rPr>
      <t>15 credit hours for</t>
    </r>
  </si>
  <si>
    <r>
      <t>undergraduate and 12 credit hours for graduate/professional</t>
    </r>
    <r>
      <rPr>
        <sz val="9"/>
        <rFont val="Arial"/>
        <family val="2"/>
      </rPr>
      <t>. If mandatory fees were in a structure such as</t>
    </r>
  </si>
  <si>
    <r>
      <t>Tuition &amp; Fees</t>
    </r>
    <r>
      <rPr>
        <vertAlign val="superscript"/>
        <sz val="10"/>
        <rFont val="Arial"/>
        <family val="2"/>
      </rPr>
      <t>1</t>
    </r>
  </si>
  <si>
    <t>BRTC</t>
  </si>
  <si>
    <t>ASUJ</t>
  </si>
  <si>
    <t>Cap</t>
  </si>
  <si>
    <t>SAU</t>
  </si>
  <si>
    <t>UAFS</t>
  </si>
  <si>
    <t>Enrollment Fee</t>
  </si>
  <si>
    <t>Activity Fee</t>
  </si>
  <si>
    <t>Campus Center Fee</t>
  </si>
  <si>
    <t>Transcript Fee</t>
  </si>
  <si>
    <t>General Fee</t>
  </si>
  <si>
    <t>Out-of-State Grad-Pub Hlth</t>
  </si>
  <si>
    <t>In-State-Grad-Pub Hlth</t>
  </si>
  <si>
    <t>TOTAL</t>
  </si>
  <si>
    <t>2003-04</t>
  </si>
  <si>
    <t>2004-05</t>
  </si>
  <si>
    <t>RESIDENT</t>
  </si>
  <si>
    <t>2002-03</t>
  </si>
  <si>
    <t>Resident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</si>
  <si>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</si>
  <si>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</si>
  <si>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</si>
  <si>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</si>
  <si>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</si>
  <si>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</si>
  <si>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</si>
  <si>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</si>
  <si>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</si>
  <si>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</si>
  <si>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Average</t>
  </si>
  <si>
    <t>Non-Resident</t>
  </si>
  <si>
    <t>SOURCE: ADHE FORM 18-1</t>
  </si>
  <si>
    <t>TABLE 72B.  TUITION &amp; REQUIRED FEES</t>
  </si>
  <si>
    <t>ANNUAL FULL-TIME UNDERGRADUATE TUITION &amp; FEES</t>
  </si>
  <si>
    <t>FOR TWO YEAR INSTITUTIONS:   1990-91 through 2000-01</t>
  </si>
  <si>
    <t>NON-RESIDENT</t>
  </si>
  <si>
    <r>
      <t>TABLE 4A.</t>
    </r>
    <r>
      <rPr>
        <b/>
        <sz val="10"/>
        <rFont val="Arial"/>
        <family val="2"/>
      </rPr>
      <t xml:space="preserve">  Annual Full-time Undergraduate</t>
    </r>
  </si>
  <si>
    <r>
      <t>TABLE 4B.</t>
    </r>
    <r>
      <rPr>
        <b/>
        <sz val="10"/>
        <rFont val="Arial"/>
        <family val="2"/>
      </rPr>
      <t xml:space="preserve">  Annual Full-time Undergraduate</t>
    </r>
  </si>
  <si>
    <t>UAFS/WC*</t>
  </si>
  <si>
    <t>Y/15</t>
  </si>
  <si>
    <t>Total</t>
  </si>
  <si>
    <t>3/ssch</t>
  </si>
  <si>
    <t>2/ssch</t>
  </si>
  <si>
    <t>ANC</t>
  </si>
  <si>
    <t>NPCC</t>
  </si>
  <si>
    <t>Infrastructure</t>
  </si>
  <si>
    <t>10/sem</t>
  </si>
  <si>
    <t xml:space="preserve">Tech </t>
  </si>
  <si>
    <t>4/ssch</t>
  </si>
  <si>
    <t>N</t>
  </si>
  <si>
    <t>5/ssch</t>
  </si>
  <si>
    <t>Tech Fee</t>
  </si>
  <si>
    <t>20/sem</t>
  </si>
  <si>
    <t>2/sem</t>
  </si>
  <si>
    <t>15/sem</t>
  </si>
  <si>
    <t xml:space="preserve">Learning Support </t>
  </si>
  <si>
    <t>1/ssch</t>
  </si>
  <si>
    <t>6/ssch</t>
  </si>
  <si>
    <t>5/sem</t>
  </si>
  <si>
    <t>Y/18</t>
  </si>
  <si>
    <t>10/ssch</t>
  </si>
  <si>
    <t>Academic Supp</t>
  </si>
  <si>
    <t>Publ Fee</t>
  </si>
  <si>
    <t>Y</t>
  </si>
  <si>
    <t>50/sem</t>
  </si>
  <si>
    <t>.25/ssch</t>
  </si>
  <si>
    <t>Facility Fee</t>
  </si>
  <si>
    <t>Instructional Supp</t>
  </si>
  <si>
    <t>Matriculation</t>
  </si>
  <si>
    <t>NA</t>
  </si>
  <si>
    <t>8/ssch</t>
  </si>
  <si>
    <t>Y/21</t>
  </si>
  <si>
    <t>7/ssch</t>
  </si>
  <si>
    <t>Assessment</t>
  </si>
  <si>
    <t xml:space="preserve">Assessment </t>
  </si>
  <si>
    <t>25/sem</t>
  </si>
  <si>
    <t>Instructional Supp Fee</t>
  </si>
  <si>
    <t>GRAD</t>
  </si>
  <si>
    <t>Law Library Fee</t>
  </si>
  <si>
    <t>Y/9</t>
  </si>
  <si>
    <t>Y/10</t>
  </si>
  <si>
    <t>Arkansas State University</t>
  </si>
  <si>
    <t>Motor Vehicle Registration</t>
  </si>
  <si>
    <t>$40 annually</t>
  </si>
  <si>
    <t>Application Fee</t>
  </si>
  <si>
    <t>Laboratory Fee</t>
  </si>
  <si>
    <t>Arkansas Tech University</t>
  </si>
  <si>
    <t>Change of Course Fee</t>
  </si>
  <si>
    <t>$10 per course</t>
  </si>
  <si>
    <t>Late Registration Fee</t>
  </si>
  <si>
    <t>$25 per semester</t>
  </si>
  <si>
    <t>Henderson State University</t>
  </si>
  <si>
    <t>$5 per course</t>
  </si>
  <si>
    <t>Southern Arkansas University</t>
  </si>
  <si>
    <t>University of Arkansas, Fayetteville</t>
  </si>
  <si>
    <t>Motor Vehicle Registration (on-campus)</t>
  </si>
  <si>
    <t>Undergraduate Application Fee</t>
  </si>
  <si>
    <t>Withdrawal from University Fee</t>
  </si>
  <si>
    <t>I.D. Card Fee</t>
  </si>
  <si>
    <t>University of Arkansas Fort Smith</t>
  </si>
  <si>
    <t>Distance Education Course Fee</t>
  </si>
  <si>
    <t>Fitness Center Fee</t>
  </si>
  <si>
    <t>$25 per credit hour</t>
  </si>
  <si>
    <t>University of Arkansas Little Rock</t>
  </si>
  <si>
    <t>University of Arkansas Monticello</t>
  </si>
  <si>
    <t>University of Arkansas Pine Bluff</t>
  </si>
  <si>
    <t>$30 annually</t>
  </si>
  <si>
    <t>$15 per course</t>
  </si>
  <si>
    <t>University of Central Arkansas</t>
  </si>
  <si>
    <t>Motor Vehicle Registration Fee</t>
  </si>
  <si>
    <t>Source: ADHE Series 18-1 and web-sites for the universities.</t>
  </si>
  <si>
    <t>Note: This schedule is only a representation of types and amounts of fees charged and is not an all inclusive list.</t>
  </si>
  <si>
    <t>Arkansas Northeastern College</t>
  </si>
  <si>
    <t>Commencement Fees</t>
  </si>
  <si>
    <t>Arkansas State University - Beebe</t>
  </si>
  <si>
    <t>$20 per course</t>
  </si>
  <si>
    <t>Arkansas State University - Mt. Home</t>
  </si>
  <si>
    <t>Arkansas State Univeristy - Newport</t>
  </si>
  <si>
    <t>$10 annually</t>
  </si>
  <si>
    <t>Black River Technical College</t>
  </si>
  <si>
    <t>Cossatot Community College UA</t>
  </si>
  <si>
    <t>East Arkansas Community College</t>
  </si>
  <si>
    <t>Mid-South Community College</t>
  </si>
  <si>
    <t>National Park Community College</t>
  </si>
  <si>
    <t>North Arkansas College</t>
  </si>
  <si>
    <t>Northwest Arkansas Community College</t>
  </si>
  <si>
    <t>Ozarka College</t>
  </si>
  <si>
    <t>Phillips Community College UA</t>
  </si>
  <si>
    <t>Pulaski Technical College</t>
  </si>
  <si>
    <t>Rich Mountain Community College</t>
  </si>
  <si>
    <t>South Arkansas Community College</t>
  </si>
  <si>
    <t>Southeast Arkansas College</t>
  </si>
  <si>
    <t>$30 per course</t>
  </si>
  <si>
    <t>Southern Arkansas University Tech</t>
  </si>
  <si>
    <t>UA Community College at Batesville</t>
  </si>
  <si>
    <t>UA Community College at Hope</t>
  </si>
  <si>
    <t>UA Community College at Morrilton</t>
  </si>
  <si>
    <t>Source: ADHE Series 18-1</t>
  </si>
  <si>
    <t>Aux/E&amp;G</t>
  </si>
  <si>
    <t>E&amp;G</t>
  </si>
  <si>
    <t>AUX</t>
  </si>
  <si>
    <t>Fees</t>
  </si>
  <si>
    <t>Library</t>
  </si>
  <si>
    <t>Undergraduate Fees</t>
  </si>
  <si>
    <t>Institutions</t>
  </si>
  <si>
    <t>Fees$</t>
  </si>
  <si>
    <t>Activity</t>
  </si>
  <si>
    <t>Athletic</t>
  </si>
  <si>
    <t>**</t>
  </si>
  <si>
    <t>Bond/Debt</t>
  </si>
  <si>
    <t>Equipment/Supply</t>
  </si>
  <si>
    <t>Health</t>
  </si>
  <si>
    <t>Infrastructure/Facility</t>
  </si>
  <si>
    <t>Miscellaneous</t>
  </si>
  <si>
    <t>Student Services/Union</t>
  </si>
  <si>
    <t>Technology/Network</t>
  </si>
  <si>
    <t>Inst</t>
  </si>
  <si>
    <t>General</t>
  </si>
  <si>
    <t>Technology</t>
  </si>
  <si>
    <t>/SSCH</t>
  </si>
  <si>
    <t>*Athletic fee is included in tuition rates.</t>
  </si>
  <si>
    <t>NOTES:</t>
  </si>
  <si>
    <t>SREB defines mandatory fees as those fees assessed each full-time undergraduate or graduate student</t>
  </si>
  <si>
    <t>regardless of program study. For example, fees charged only to students in music, lab, or nursing</t>
  </si>
  <si>
    <t>or other fees unique to a given situation such as late registration and parking decals are not reported</t>
  </si>
  <si>
    <t>as mandatory fees. Annual per SSCH charges are calculated at the SREB rate of 30 hours unless fee is capped.</t>
  </si>
  <si>
    <r>
      <t>Misc.</t>
    </r>
    <r>
      <rPr>
        <b/>
        <vertAlign val="superscript"/>
        <sz val="11"/>
        <rFont val="Arial"/>
        <family val="2"/>
      </rPr>
      <t>**</t>
    </r>
  </si>
  <si>
    <t>Bond</t>
  </si>
  <si>
    <t>Equipment</t>
  </si>
  <si>
    <t>Fall</t>
  </si>
  <si>
    <t>Aux Total</t>
  </si>
  <si>
    <t>E&amp;G Total</t>
  </si>
  <si>
    <t>Broadcast</t>
  </si>
  <si>
    <t>%</t>
  </si>
  <si>
    <t>Inc</t>
  </si>
  <si>
    <t>Annualized</t>
  </si>
  <si>
    <t>Out-of-State Grad (Pharm)</t>
  </si>
  <si>
    <t>In-State Grad (Pharm)</t>
  </si>
  <si>
    <t>Out-of-State Grad (Med)</t>
  </si>
  <si>
    <t>In-State Grad (Med)</t>
  </si>
  <si>
    <t>Out-of-State Grad</t>
  </si>
  <si>
    <t>Aux</t>
  </si>
  <si>
    <r>
      <t xml:space="preserve">In-State U/G </t>
    </r>
    <r>
      <rPr>
        <b/>
        <sz val="9"/>
        <rFont val="Arial"/>
        <family val="2"/>
      </rPr>
      <t>(ASUHS)</t>
    </r>
  </si>
  <si>
    <t>Notes: ANC and NPCC do not have a separate fee schedule and/or tuition rate for the technical courses that were part of the former merged institution.</t>
  </si>
  <si>
    <r>
      <t>Note:</t>
    </r>
    <r>
      <rPr>
        <vertAlign val="superscript"/>
        <sz val="11"/>
        <rFont val="Arial"/>
        <family val="2"/>
      </rPr>
      <t xml:space="preserve"> </t>
    </r>
    <r>
      <rPr>
        <sz val="9"/>
        <rFont val="Arial"/>
        <family val="2"/>
      </rPr>
      <t>SREB defines mandatory fees as those fees assessed each full-time undergraduate or graduate student</t>
    </r>
  </si>
  <si>
    <r>
      <t>1</t>
    </r>
    <r>
      <rPr>
        <sz val="9"/>
        <rFont val="Arial"/>
        <family val="2"/>
      </rPr>
      <t>Technology (TELE) fees were computed by using the Arts &amp; Sciences ratio for undergraduates and graduates.</t>
    </r>
  </si>
  <si>
    <t>Documentation Fee</t>
  </si>
  <si>
    <t>Doc Fee</t>
  </si>
  <si>
    <t>$50 annually</t>
  </si>
  <si>
    <t>ASUTC</t>
  </si>
  <si>
    <t>$35 per course</t>
  </si>
  <si>
    <t xml:space="preserve">Notes: </t>
  </si>
  <si>
    <t>2005-06</t>
  </si>
  <si>
    <t>Student Activity Fee</t>
  </si>
  <si>
    <t>7.5/sem</t>
  </si>
  <si>
    <t>included in</t>
  </si>
  <si>
    <t>tuition rate</t>
  </si>
  <si>
    <r>
      <t xml:space="preserve">In-State U/G </t>
    </r>
    <r>
      <rPr>
        <b/>
        <sz val="9"/>
        <rFont val="Arial"/>
        <family val="2"/>
      </rPr>
      <t>(Architecture)</t>
    </r>
  </si>
  <si>
    <r>
      <t xml:space="preserve">Out-of State U/G </t>
    </r>
    <r>
      <rPr>
        <b/>
        <sz val="9"/>
        <rFont val="Arial"/>
        <family val="2"/>
      </rPr>
      <t>(Architecture)</t>
    </r>
  </si>
  <si>
    <t>Network/Data Systems Fee</t>
  </si>
  <si>
    <t>TECH CTR</t>
  </si>
  <si>
    <t>Technology Fee**</t>
  </si>
  <si>
    <t>65/sem</t>
  </si>
  <si>
    <t>Public Safety Fee</t>
  </si>
  <si>
    <t>Clinton School In-State</t>
  </si>
  <si>
    <t>Clinton School Out-of-State</t>
  </si>
  <si>
    <t>$25 - $75</t>
  </si>
  <si>
    <t>Application Fee- Graduate Students Only</t>
  </si>
  <si>
    <t>$20 per lab course</t>
  </si>
  <si>
    <t>$10 per science lab course</t>
  </si>
  <si>
    <t>$50 per course</t>
  </si>
  <si>
    <t>$5 annually</t>
  </si>
  <si>
    <t>20/annual</t>
  </si>
  <si>
    <t>Equip / Supply</t>
  </si>
  <si>
    <t xml:space="preserve">as mandatory fees. </t>
  </si>
  <si>
    <t>Annual per SSCH charges are calculated at the SREB rate of 30 hours unless fee is capped.</t>
  </si>
  <si>
    <t>**Miscellaneous fees differ per institution but some examples are academic support, campus improvement, student services, etc.</t>
  </si>
  <si>
    <t>60/sem</t>
  </si>
  <si>
    <t>40/sem</t>
  </si>
  <si>
    <t>12/ssch</t>
  </si>
  <si>
    <t>Testing Fee</t>
  </si>
  <si>
    <t>Quality Improvement Fee</t>
  </si>
  <si>
    <t>Marticulation Fee</t>
  </si>
  <si>
    <t xml:space="preserve">Student Sup. Serv </t>
  </si>
  <si>
    <t>Public Safety</t>
  </si>
  <si>
    <t>Beebe only</t>
  </si>
  <si>
    <t>2006-07</t>
  </si>
  <si>
    <t>E&amp;G Tot</t>
  </si>
  <si>
    <t>AUX Tot</t>
  </si>
  <si>
    <t>Infrastructure/
Facility</t>
  </si>
  <si>
    <t>2007-08</t>
  </si>
  <si>
    <t>Student Recreation Fee</t>
  </si>
  <si>
    <t>Strategic Initiative Fee</t>
  </si>
  <si>
    <t>Recreation Center Fee</t>
  </si>
  <si>
    <t>125/sem</t>
  </si>
  <si>
    <t xml:space="preserve">Media Fee </t>
  </si>
  <si>
    <t>Undergraduate (Arts &amp; Sciences rate)</t>
  </si>
  <si>
    <t>Graduate (Arts &amp; Sciences rate)</t>
  </si>
  <si>
    <t>Law School</t>
  </si>
  <si>
    <t>Law Technology Fee</t>
  </si>
  <si>
    <r>
      <t>In-State U/G</t>
    </r>
    <r>
      <rPr>
        <b/>
        <sz val="9"/>
        <rFont val="Arial"/>
        <family val="2"/>
      </rPr>
      <t xml:space="preserve"> (Tech Ctr)</t>
    </r>
  </si>
  <si>
    <r>
      <t>Out-of-State U/G</t>
    </r>
    <r>
      <rPr>
        <b/>
        <sz val="9"/>
        <rFont val="Arial"/>
        <family val="2"/>
      </rPr>
      <t xml:space="preserve"> (Tech Ctr)</t>
    </r>
  </si>
  <si>
    <t>activity</t>
  </si>
  <si>
    <t>misc</t>
  </si>
  <si>
    <t>tech</t>
  </si>
  <si>
    <t>stdnt svcs</t>
  </si>
  <si>
    <t>health</t>
  </si>
  <si>
    <t>-</t>
  </si>
  <si>
    <t>Student Svc Fee</t>
  </si>
  <si>
    <t>Student Processing</t>
  </si>
  <si>
    <t>2008-09</t>
  </si>
  <si>
    <t>Service Fee</t>
  </si>
  <si>
    <t>College Serv Fee</t>
  </si>
  <si>
    <t>Safety Fee</t>
  </si>
  <si>
    <t>48/sem</t>
  </si>
  <si>
    <t>2.5/ssch</t>
  </si>
  <si>
    <t>8/sem</t>
  </si>
  <si>
    <t>Recreation Fee</t>
  </si>
  <si>
    <t>Facilities Fee</t>
  </si>
  <si>
    <t>Facilities Fee (Technical Inst.)</t>
  </si>
  <si>
    <t>Tuition &amp;</t>
  </si>
  <si>
    <t>Fees Per</t>
  </si>
  <si>
    <t>Hour</t>
  </si>
  <si>
    <t>2009-10</t>
  </si>
  <si>
    <t>Facilities fee</t>
  </si>
  <si>
    <t>Security fee</t>
  </si>
  <si>
    <t>Assessment fee</t>
  </si>
  <si>
    <t>Security</t>
  </si>
  <si>
    <t>Science Fees</t>
  </si>
  <si>
    <t>$40 per lab course</t>
  </si>
  <si>
    <t>Online Fee</t>
  </si>
  <si>
    <t>$20 per credit hour</t>
  </si>
  <si>
    <t>Student Support fee</t>
  </si>
  <si>
    <t>.</t>
  </si>
  <si>
    <t>Access and Security Fee</t>
  </si>
  <si>
    <t>27/sem</t>
  </si>
  <si>
    <t>Athletic fee</t>
  </si>
  <si>
    <t>$25 annually</t>
  </si>
  <si>
    <t>Parking Fee</t>
  </si>
  <si>
    <t>2010-11</t>
  </si>
  <si>
    <t>13/ssch</t>
  </si>
  <si>
    <t>Registration Fee</t>
  </si>
  <si>
    <t>Tech &amp; Infrastructure Fee</t>
  </si>
  <si>
    <t>Activity Enrichment Fee</t>
  </si>
  <si>
    <t>Saftey Fee</t>
  </si>
  <si>
    <t>Security Fee</t>
  </si>
  <si>
    <t>Program Support</t>
  </si>
  <si>
    <t>Ozark</t>
  </si>
  <si>
    <t>7/sem</t>
  </si>
  <si>
    <r>
      <t>In-State U/G</t>
    </r>
    <r>
      <rPr>
        <b/>
        <sz val="9"/>
        <rFont val="Arial"/>
        <family val="2"/>
      </rPr>
      <t xml:space="preserve"> (Ozark Campus)</t>
    </r>
  </si>
  <si>
    <t>Technology College.</t>
  </si>
  <si>
    <t>$50 per semester</t>
  </si>
  <si>
    <r>
      <t>3</t>
    </r>
    <r>
      <rPr>
        <sz val="10"/>
        <rFont val="Arial"/>
        <family val="0"/>
      </rPr>
      <t>HSU mandatory fees include a $250 annual fee for the Student Recreation Center that was initiated by the Student Government Association.</t>
    </r>
  </si>
  <si>
    <t>Avg U/G</t>
  </si>
  <si>
    <t>Avg Grad</t>
  </si>
  <si>
    <t>2011-12</t>
  </si>
  <si>
    <t>140/sem</t>
  </si>
  <si>
    <t>Student Communication Fee</t>
  </si>
  <si>
    <t>9/ssch</t>
  </si>
  <si>
    <t>In-State U/G Nursing</t>
  </si>
  <si>
    <t>Out-of-State U/G Nursing</t>
  </si>
  <si>
    <t>34/sem</t>
  </si>
  <si>
    <t>12/sem</t>
  </si>
  <si>
    <t>Student Center Fee</t>
  </si>
  <si>
    <t>Writing/Retention</t>
  </si>
  <si>
    <t>17/ssch</t>
  </si>
  <si>
    <t>62/sem</t>
  </si>
  <si>
    <t>Reg/Assesment/Library Fee</t>
  </si>
  <si>
    <t>Student Support Fee</t>
  </si>
  <si>
    <t>Internet Course Fee</t>
  </si>
  <si>
    <t>420.00*</t>
  </si>
  <si>
    <t>$25 per course</t>
  </si>
  <si>
    <t>$40 per credit hour</t>
  </si>
  <si>
    <t>2012-13</t>
  </si>
  <si>
    <t>Academic Excellence Fee</t>
  </si>
  <si>
    <t>Internship Teaching Fee</t>
  </si>
  <si>
    <t>14/28/ssch</t>
  </si>
  <si>
    <t>Health and Wellness Fee</t>
  </si>
  <si>
    <t xml:space="preserve">AUX </t>
  </si>
  <si>
    <t>Student Teaching Fee</t>
  </si>
  <si>
    <t>$100 per semester</t>
  </si>
  <si>
    <r>
      <t>HSU</t>
    </r>
    <r>
      <rPr>
        <b/>
        <vertAlign val="superscript"/>
        <sz val="9"/>
        <rFont val="Arial"/>
        <family val="2"/>
      </rPr>
      <t>3</t>
    </r>
  </si>
  <si>
    <t>15/ssch</t>
  </si>
  <si>
    <t>2.75/ssch</t>
  </si>
  <si>
    <t>11/ssch</t>
  </si>
  <si>
    <t>Wellness Fee</t>
  </si>
  <si>
    <t>1.5/ssch</t>
  </si>
  <si>
    <t>7.5/ssch</t>
  </si>
  <si>
    <t>4.25/ssch</t>
  </si>
  <si>
    <t>9.12/ssch</t>
  </si>
  <si>
    <t>0.5/ssch</t>
  </si>
  <si>
    <t>0.35/ssch</t>
  </si>
  <si>
    <t>$34.50 per semester</t>
  </si>
  <si>
    <t>Distance Education Fee</t>
  </si>
  <si>
    <t>Quality Improvement</t>
  </si>
  <si>
    <t>55/sem</t>
  </si>
  <si>
    <t>8.50/ssch</t>
  </si>
  <si>
    <t>Facilities Maintenance</t>
  </si>
  <si>
    <t>1.50/ssch</t>
  </si>
  <si>
    <t>COTO</t>
  </si>
  <si>
    <t>2.50/ssch</t>
  </si>
  <si>
    <t>Property Maint. Fee</t>
  </si>
  <si>
    <t>11.50/Sem</t>
  </si>
  <si>
    <t>Facility Use</t>
  </si>
  <si>
    <t>AVG</t>
  </si>
  <si>
    <t>Lawyer Assistance Program Fee</t>
  </si>
  <si>
    <t>Out-of-State Physician Asst. Studies Grad</t>
  </si>
  <si>
    <t>Physician Asst. Studies Grad</t>
  </si>
  <si>
    <t>N/A</t>
  </si>
  <si>
    <t>$250 one time fee</t>
  </si>
  <si>
    <t xml:space="preserve">College of the Ouachitas </t>
  </si>
  <si>
    <t>Various</t>
  </si>
  <si>
    <t>Laboratory Fees</t>
  </si>
  <si>
    <t>$10 per credit hour</t>
  </si>
  <si>
    <t>Private Music Fee</t>
  </si>
  <si>
    <t>$30 per credit hour</t>
  </si>
  <si>
    <t>Distance Learning Fee</t>
  </si>
  <si>
    <t>Web Fee</t>
  </si>
  <si>
    <t>$5 per change form</t>
  </si>
  <si>
    <t>Distance Learning Fee Internet/ITV*</t>
  </si>
  <si>
    <t>varies between $20-325 per course</t>
  </si>
  <si>
    <t>varies between $10-200 per course</t>
  </si>
  <si>
    <t>$95 per credit hour</t>
  </si>
  <si>
    <t>Various Course Fees Only</t>
  </si>
  <si>
    <t>2013-14</t>
  </si>
  <si>
    <t>Fall 2013</t>
  </si>
  <si>
    <t>Document Fee</t>
  </si>
  <si>
    <t>library</t>
  </si>
  <si>
    <t>facility</t>
  </si>
  <si>
    <t>16/ssch</t>
  </si>
  <si>
    <t>Infrastucture Fee</t>
  </si>
  <si>
    <t>2.20/ssch</t>
  </si>
  <si>
    <t>18/ssch</t>
  </si>
  <si>
    <t>10.75/ssch</t>
  </si>
  <si>
    <t>Library Resource Fee</t>
  </si>
  <si>
    <t>Building Fee</t>
  </si>
  <si>
    <t>25/ssch</t>
  </si>
  <si>
    <t>Admin Services Fee</t>
  </si>
  <si>
    <t>UA-Clinton School</t>
  </si>
  <si>
    <t>20/ssch</t>
  </si>
  <si>
    <t>Undergrad</t>
  </si>
  <si>
    <t>UALR Processing Fee</t>
  </si>
  <si>
    <t>AUX Total</t>
  </si>
  <si>
    <r>
      <t>UAF</t>
    </r>
    <r>
      <rPr>
        <b/>
        <vertAlign val="superscript"/>
        <sz val="9"/>
        <rFont val="Arial"/>
        <family val="2"/>
      </rPr>
      <t>1</t>
    </r>
  </si>
  <si>
    <t>Total E&amp;G</t>
  </si>
  <si>
    <t>Total Aux</t>
  </si>
  <si>
    <r>
      <t>In-State U/G</t>
    </r>
    <r>
      <rPr>
        <b/>
        <sz val="9"/>
        <rFont val="Arial"/>
        <family val="2"/>
      </rPr>
      <t xml:space="preserve"> (LRAFB)</t>
    </r>
  </si>
  <si>
    <t>Law:   In-State (1st year) (new tuition structure)</t>
  </si>
  <si>
    <t>Law:   In-State (2nd year) (new tuition structure)</t>
  </si>
  <si>
    <t>Law:   In-State (3rd year) (new tuition structure)</t>
  </si>
  <si>
    <t>Law:   Out-of-State (1st year) (new tuition structure)</t>
  </si>
  <si>
    <t>Law:   Out-of-State (2nd year) (new tuition structure)</t>
  </si>
  <si>
    <t>Law:   Out-of-State (3rd year) (new tuition structure)</t>
  </si>
  <si>
    <t>**Miscellaneous fees differ per institution but some examples are yearbook, publication, fine arts, enrollment, assessment, transcript, etc.</t>
  </si>
  <si>
    <r>
      <t>In-State U/G (Nursing)</t>
    </r>
    <r>
      <rPr>
        <vertAlign val="superscript"/>
        <sz val="9"/>
        <rFont val="Arial"/>
        <family val="2"/>
      </rPr>
      <t>2</t>
    </r>
  </si>
  <si>
    <r>
      <t>Out-of-State U/G (Nursing)</t>
    </r>
    <r>
      <rPr>
        <vertAlign val="superscript"/>
        <sz val="9"/>
        <rFont val="Arial"/>
        <family val="2"/>
      </rPr>
      <t>2</t>
    </r>
  </si>
  <si>
    <r>
      <t>In-State Grad (Nursing)</t>
    </r>
    <r>
      <rPr>
        <vertAlign val="superscript"/>
        <sz val="9"/>
        <rFont val="Arial"/>
        <family val="2"/>
      </rPr>
      <t>2</t>
    </r>
  </si>
  <si>
    <r>
      <t>Out-of-State Grad (Nursing)</t>
    </r>
    <r>
      <rPr>
        <vertAlign val="superscript"/>
        <sz val="9"/>
        <rFont val="Arial"/>
        <family val="2"/>
      </rPr>
      <t>2</t>
    </r>
  </si>
  <si>
    <t>$10-$100 per course</t>
  </si>
  <si>
    <t>$25-$50 per semester</t>
  </si>
  <si>
    <t>$200 per semester</t>
  </si>
  <si>
    <t>$210 per semester</t>
  </si>
  <si>
    <t>$30 per semester</t>
  </si>
  <si>
    <t>$71 per credit hour</t>
  </si>
  <si>
    <t>$25-$50 per course</t>
  </si>
  <si>
    <t>$10-$25 per course</t>
  </si>
  <si>
    <t>$10-$50 per ssch</t>
  </si>
  <si>
    <t>$20-$30 annually</t>
  </si>
  <si>
    <t>$54.50 per semester</t>
  </si>
  <si>
    <t>$5 per credit hour - $45 per semester</t>
  </si>
  <si>
    <t xml:space="preserve">Definition of full-time for purposes of tuition calculation is 12 credit hours for a student enrolled in UAMS's undergraduate nursing program and 9 hours </t>
  </si>
  <si>
    <t>for a student enrolled in UAMS's graduate nursing program.</t>
  </si>
  <si>
    <t>$5-$125 per course</t>
  </si>
  <si>
    <t>$43 per course</t>
  </si>
  <si>
    <t>$60 per semester</t>
  </si>
  <si>
    <t>$25-$55 per semester</t>
  </si>
  <si>
    <t>Online Course Fee</t>
  </si>
  <si>
    <t>$10 per change form</t>
  </si>
  <si>
    <t>**The athletic fee for ATU and SAU is included in their tuition rate.</t>
  </si>
  <si>
    <t xml:space="preserve">*For UAF, WCOB is Walton College of Business. For UALR, COB is College of Business and EIT is Engineering and Information </t>
  </si>
  <si>
    <t>ATU**</t>
  </si>
  <si>
    <t>SAUM**</t>
  </si>
  <si>
    <r>
      <t xml:space="preserve">In-State U/G </t>
    </r>
    <r>
      <rPr>
        <b/>
        <sz val="9"/>
        <rFont val="Arial"/>
        <family val="2"/>
      </rPr>
      <t>(WCOB)*</t>
    </r>
  </si>
  <si>
    <r>
      <t xml:space="preserve">Out-of State U/G </t>
    </r>
    <r>
      <rPr>
        <b/>
        <sz val="9"/>
        <rFont val="Arial"/>
        <family val="2"/>
      </rPr>
      <t>(WCOB)*</t>
    </r>
  </si>
  <si>
    <r>
      <t>In-State Grad</t>
    </r>
    <r>
      <rPr>
        <b/>
        <sz val="9"/>
        <rFont val="Arial"/>
        <family val="2"/>
      </rPr>
      <t xml:space="preserve"> (WCOB)*</t>
    </r>
  </si>
  <si>
    <r>
      <t xml:space="preserve">Out-of State Grad </t>
    </r>
    <r>
      <rPr>
        <b/>
        <sz val="9"/>
        <rFont val="Arial"/>
        <family val="2"/>
      </rPr>
      <t>(WCOB)*</t>
    </r>
  </si>
  <si>
    <r>
      <t xml:space="preserve">In-State U/G </t>
    </r>
    <r>
      <rPr>
        <b/>
        <sz val="9"/>
        <rFont val="Arial"/>
        <family val="2"/>
      </rPr>
      <t>(COB &amp; EIT)*</t>
    </r>
  </si>
  <si>
    <r>
      <t xml:space="preserve">Out-of State U/G </t>
    </r>
    <r>
      <rPr>
        <b/>
        <sz val="9"/>
        <rFont val="Arial"/>
        <family val="2"/>
      </rPr>
      <t>(COB &amp; EIT)*</t>
    </r>
  </si>
  <si>
    <r>
      <t xml:space="preserve">In-State Grad </t>
    </r>
    <r>
      <rPr>
        <b/>
        <sz val="9"/>
        <rFont val="Arial"/>
        <family val="2"/>
      </rPr>
      <t>(COB &amp; EIT)*</t>
    </r>
  </si>
  <si>
    <r>
      <t>Out-of State Grad</t>
    </r>
    <r>
      <rPr>
        <b/>
        <sz val="9"/>
        <rFont val="Arial"/>
        <family val="2"/>
      </rPr>
      <t xml:space="preserve"> (COB &amp; EIT)*</t>
    </r>
  </si>
  <si>
    <t>Out-of State U/G (Fall 2011 and after)</t>
  </si>
  <si>
    <t>Out-of State U/G (prior to Fall 2011)</t>
  </si>
  <si>
    <t>Out-of-State Grad (prior to Fall 2011)</t>
  </si>
  <si>
    <t>Out-of State Grad (Fall 2011 and after)</t>
  </si>
  <si>
    <t>2014-15 Annualized Tuition and Fees for Public Two-Year Institutions</t>
  </si>
  <si>
    <t>2014-15</t>
  </si>
  <si>
    <t>Fall 2014</t>
  </si>
  <si>
    <t>Student Success Fee</t>
  </si>
  <si>
    <t>Tuition and Mandatory Fees for Two-Year Institutions (2005-06 through 2014-15)</t>
  </si>
  <si>
    <t>2014-15 Annualized Tuition and Fees for Public Four-year Institutions</t>
  </si>
  <si>
    <t>Building Usage Fee</t>
  </si>
  <si>
    <t>Career Services Fee</t>
  </si>
  <si>
    <t>$40 per course</t>
  </si>
  <si>
    <t>10.5/ssch</t>
  </si>
  <si>
    <t>17.25/ssch</t>
  </si>
  <si>
    <t>11.10/ssch</t>
  </si>
  <si>
    <t>61.75/sem</t>
  </si>
  <si>
    <t>545.70/sem</t>
  </si>
  <si>
    <t>**Note: For the Tech Inst, $8.69 per SSCH for a Tech Infrastructure Fee.</t>
  </si>
  <si>
    <t>13.40/ssch</t>
  </si>
  <si>
    <t>1.59/ssch &amp; 26.50/sem</t>
  </si>
  <si>
    <t>12.50/ssch</t>
  </si>
  <si>
    <t>In-State U/G (Health Professions)</t>
  </si>
  <si>
    <t>Out-of-State U/G (Health Professions)</t>
  </si>
  <si>
    <t>In-State Grad (Health Professions)</t>
  </si>
  <si>
    <t>Out-of-State Grad (Health Professions)</t>
  </si>
  <si>
    <t>16.25/ssch</t>
  </si>
  <si>
    <t>Compiled: 7/2/2014</t>
  </si>
  <si>
    <t>13.80/sem</t>
  </si>
  <si>
    <t>15.50/ssch</t>
  </si>
  <si>
    <t>$89.80 annually</t>
  </si>
  <si>
    <t>$250 per semester</t>
  </si>
  <si>
    <t>$25-$250 per course</t>
  </si>
  <si>
    <t>2014-15 Annualized Mandatory Fees for Public Universities</t>
  </si>
  <si>
    <t>Examples of Non-Mandatory Fees for Four-Year Public Universities      2014-15</t>
  </si>
  <si>
    <t>2014-15 Annualized Mandatory Fees for Public Colleges</t>
  </si>
  <si>
    <t>Examples of Non-Mandatory Fees for Two-Year Public Colleges 2014-15</t>
  </si>
  <si>
    <t>Tuition and Mandatory Fees for Four-Year Institutions (2005-06 through 2014-15)</t>
  </si>
  <si>
    <t>In-State U/G-HRP-GRP1</t>
  </si>
  <si>
    <t>In-State U/G-HRP-GRP2</t>
  </si>
  <si>
    <r>
      <t xml:space="preserve">2 </t>
    </r>
    <r>
      <rPr>
        <sz val="10"/>
        <rFont val="Arial"/>
        <family val="2"/>
      </rPr>
      <t xml:space="preserve">Definition of full-time for purposes of tuition calculation is 12 credit hours for a student enrolled in UAMS's undergraduate nursing program and 9 hours </t>
    </r>
  </si>
  <si>
    <t>$10-35 per course</t>
  </si>
  <si>
    <t>12.30/ssch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</si>
</sst>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%"/>
    <numFmt numFmtId="166" formatCode="0.0"/>
    <numFmt numFmtId="167" formatCode="0.000"/>
    <numFmt numFmtId="168" formatCode="_(* #,##0_);_(* \(#,##0\);_(* &quot;-&quot;??_);_(@_)"/>
    <numFmt numFmtId="169" formatCode="_(* #,##0.0_);_(* \(#,##0.0\);_(* &quot;-&quot;??_);_(@_)"/>
    <numFmt numFmtId="170" formatCode="_(* #,##0.0_);_(* \(#,##0.0\);_(* &quot;-&quot;?_);_(@_)"/>
    <numFmt numFmtId="171" formatCode=";;"/>
    <numFmt numFmtId="172" formatCode="mm/dd/yy"/>
    <numFmt numFmtId="173" formatCode="mm/dd/yy_)"/>
    <numFmt numFmtId="174" formatCode="_(* #,##0.000_);_(* \(#,##0.000\);_(* &quot;-&quot;???_);_(@_)"/>
    <numFmt numFmtId="175" formatCode="\(#\)"/>
    <numFmt numFmtId="176" formatCode="&quot;$&quot;#,##0.00"/>
    <numFmt numFmtId="177" formatCode="&quot;$&quot;#,##0"/>
    <numFmt numFmtId="178" formatCode="&quot;$&quot;#,##0.00;\(&quot;$&quot;#,##0.00\)"/>
    <numFmt numFmtId="179" formatCode="0_)"/>
    <numFmt numFmtId="180" formatCode=";;;"/>
    <numFmt numFmtId="181" formatCode="_(* #,##0.000_);_(* \(#,##0.000\);_(* &quot;-&quot;??_);_(@_)"/>
    <numFmt numFmtId="182" formatCode="_(* #,##0.0_);_(* \(#,##0.0\);_(* &quot;-&quot;_);_(@_)"/>
    <numFmt numFmtId="183" formatCode="_(* #,##0.00_);_(* \(#,##0.00\);_(* &quot;-&quot;_);_(@_)"/>
    <numFmt numFmtId="184" formatCode="_(* #,##0.000_);_(* \(#,##0.000\);_(* &quot;-&quot;_);_(@_)"/>
    <numFmt numFmtId="185" formatCode="#,##0.0_);\(#,##0.0\)"/>
    <numFmt numFmtId="186" formatCode="_(&quot;$&quot;* #,##0.0_);_(&quot;$&quot;* \(#,##0.0\);_(&quot;$&quot;* &quot;-&quot;??_);_(@_)"/>
    <numFmt numFmtId="187" formatCode="&quot;$&quot;#,##0.0_);[Red]\(&quot;$&quot;#,##0.0\)"/>
    <numFmt numFmtId="188" formatCode="0.000%"/>
    <numFmt numFmtId="189" formatCode="#,##0.0"/>
    <numFmt numFmtId="190" formatCode="#,##0.000"/>
    <numFmt numFmtId="191" formatCode="_(&quot;$&quot;* #,##0_);_(&quot;$&quot;* \(#,##0\);_(&quot;$&quot;* &quot;-&quot;??_);_(@_)"/>
    <numFmt numFmtId="192" formatCode="[$-409]dddd\,\ mmmm\ dd\,\ yyyy"/>
    <numFmt numFmtId="193" formatCode="mmm\-yyyy"/>
    <numFmt numFmtId="194" formatCode="&quot;$&quot;#,##0.0"/>
    <numFmt numFmtId="195" formatCode="&quot;$&quot;#,##0.000"/>
    <numFmt numFmtId="196" formatCode="&quot;$&quot;#,##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u val="single"/>
      <sz val="12"/>
      <color indexed="36"/>
      <name val="SWISS"/>
      <family val="0"/>
    </font>
    <font>
      <u val="single"/>
      <sz val="12"/>
      <color indexed="12"/>
      <name val="SWISS"/>
      <family val="0"/>
    </font>
    <font>
      <b/>
      <sz val="12"/>
      <name val="Arial"/>
      <family val="2"/>
    </font>
    <font>
      <sz val="10"/>
      <name val="DUTCH"/>
      <family val="0"/>
    </font>
    <font>
      <b/>
      <sz val="11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37" fontId="12" fillId="32" borderId="0">
      <alignment/>
      <protection/>
    </xf>
    <xf numFmtId="0" fontId="0" fillId="33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9" fontId="4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37" fontId="11" fillId="32" borderId="0" xfId="59" applyNumberFormat="1" applyFont="1" applyBorder="1" applyAlignment="1">
      <alignment horizontal="left"/>
      <protection/>
    </xf>
    <xf numFmtId="37" fontId="1" fillId="32" borderId="0" xfId="59" applyNumberFormat="1" applyFont="1" applyBorder="1" applyAlignment="1">
      <alignment horizontal="left"/>
      <protection/>
    </xf>
    <xf numFmtId="37" fontId="0" fillId="32" borderId="0" xfId="59" applyNumberFormat="1" applyFont="1" applyBorder="1">
      <alignment/>
      <protection/>
    </xf>
    <xf numFmtId="37" fontId="13" fillId="32" borderId="0" xfId="59" applyNumberFormat="1" applyFont="1" applyBorder="1">
      <alignment/>
      <protection/>
    </xf>
    <xf numFmtId="172" fontId="14" fillId="32" borderId="0" xfId="59" applyNumberFormat="1" applyFont="1" applyBorder="1">
      <alignment/>
      <protection/>
    </xf>
    <xf numFmtId="37" fontId="5" fillId="32" borderId="0" xfId="59" applyNumberFormat="1" applyFont="1" applyBorder="1">
      <alignment/>
      <protection/>
    </xf>
    <xf numFmtId="37" fontId="0" fillId="32" borderId="15" xfId="59" applyNumberFormat="1" applyFont="1" applyBorder="1" applyAlignment="1">
      <alignment horizontal="right"/>
      <protection/>
    </xf>
    <xf numFmtId="37" fontId="5" fillId="32" borderId="16" xfId="59" applyNumberFormat="1" applyFont="1" applyBorder="1" applyAlignment="1">
      <alignment horizontal="right"/>
      <protection/>
    </xf>
    <xf numFmtId="37" fontId="1" fillId="32" borderId="0" xfId="59" applyNumberFormat="1" applyFont="1" applyBorder="1">
      <alignment/>
      <protection/>
    </xf>
    <xf numFmtId="37" fontId="4" fillId="32" borderId="0" xfId="59" applyNumberFormat="1" applyFont="1" applyBorder="1">
      <alignment/>
      <protection/>
    </xf>
    <xf numFmtId="37" fontId="6" fillId="32" borderId="0" xfId="59" applyNumberFormat="1" applyFont="1" applyBorder="1">
      <alignment/>
      <protection/>
    </xf>
    <xf numFmtId="10" fontId="5" fillId="32" borderId="0" xfId="59" applyNumberFormat="1" applyFont="1" applyBorder="1">
      <alignment/>
      <protection/>
    </xf>
    <xf numFmtId="10" fontId="6" fillId="32" borderId="0" xfId="59" applyNumberFormat="1" applyFont="1" applyBorder="1">
      <alignment/>
      <protection/>
    </xf>
    <xf numFmtId="10" fontId="1" fillId="32" borderId="0" xfId="59" applyNumberFormat="1" applyFont="1" applyBorder="1">
      <alignment/>
      <protection/>
    </xf>
    <xf numFmtId="10" fontId="4" fillId="32" borderId="0" xfId="59" applyNumberFormat="1" applyFont="1" applyBorder="1">
      <alignment/>
      <protection/>
    </xf>
    <xf numFmtId="37" fontId="1" fillId="32" borderId="0" xfId="59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9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9" fontId="1" fillId="0" borderId="28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19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9" fillId="0" borderId="29" xfId="0" applyFont="1" applyFill="1" applyBorder="1" applyAlignment="1">
      <alignment/>
    </xf>
    <xf numFmtId="0" fontId="19" fillId="0" borderId="29" xfId="0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0" fontId="22" fillId="0" borderId="0" xfId="0" applyFont="1" applyAlignment="1">
      <alignment/>
    </xf>
    <xf numFmtId="0" fontId="11" fillId="0" borderId="3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1" xfId="0" applyFont="1" applyBorder="1" applyAlignment="1">
      <alignment horizontal="center"/>
    </xf>
    <xf numFmtId="0" fontId="18" fillId="0" borderId="32" xfId="0" applyFont="1" applyBorder="1" applyAlignment="1">
      <alignment/>
    </xf>
    <xf numFmtId="4" fontId="18" fillId="0" borderId="19" xfId="0" applyNumberFormat="1" applyFont="1" applyBorder="1" applyAlignment="1">
      <alignment horizontal="right"/>
    </xf>
    <xf numFmtId="4" fontId="18" fillId="0" borderId="19" xfId="0" applyNumberFormat="1" applyFont="1" applyBorder="1" applyAlignment="1">
      <alignment horizontal="center"/>
    </xf>
    <xf numFmtId="0" fontId="18" fillId="0" borderId="33" xfId="0" applyFont="1" applyBorder="1" applyAlignment="1">
      <alignment/>
    </xf>
    <xf numFmtId="177" fontId="18" fillId="0" borderId="3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11" fillId="0" borderId="35" xfId="0" applyFont="1" applyBorder="1" applyAlignment="1">
      <alignment/>
    </xf>
    <xf numFmtId="0" fontId="13" fillId="0" borderId="36" xfId="0" applyFont="1" applyBorder="1" applyAlignment="1">
      <alignment wrapText="1"/>
    </xf>
    <xf numFmtId="0" fontId="13" fillId="0" borderId="31" xfId="0" applyFont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16" xfId="0" applyFont="1" applyBorder="1" applyAlignment="1">
      <alignment/>
    </xf>
    <xf numFmtId="4" fontId="19" fillId="0" borderId="19" xfId="0" applyNumberFormat="1" applyFont="1" applyBorder="1" applyAlignment="1">
      <alignment horizontal="right"/>
    </xf>
    <xf numFmtId="4" fontId="19" fillId="0" borderId="32" xfId="0" applyNumberFormat="1" applyFont="1" applyBorder="1" applyAlignment="1">
      <alignment horizontal="right"/>
    </xf>
    <xf numFmtId="0" fontId="19" fillId="34" borderId="16" xfId="0" applyFont="1" applyFill="1" applyBorder="1" applyAlignment="1">
      <alignment/>
    </xf>
    <xf numFmtId="4" fontId="19" fillId="34" borderId="19" xfId="0" applyNumberFormat="1" applyFont="1" applyFill="1" applyBorder="1" applyAlignment="1">
      <alignment horizontal="right"/>
    </xf>
    <xf numFmtId="4" fontId="19" fillId="34" borderId="32" xfId="0" applyNumberFormat="1" applyFont="1" applyFill="1" applyBorder="1" applyAlignment="1">
      <alignment horizontal="right"/>
    </xf>
    <xf numFmtId="2" fontId="19" fillId="0" borderId="0" xfId="0" applyNumberFormat="1" applyFont="1" applyAlignment="1">
      <alignment/>
    </xf>
    <xf numFmtId="177" fontId="19" fillId="0" borderId="0" xfId="0" applyNumberFormat="1" applyFont="1" applyAlignment="1">
      <alignment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16" xfId="0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3" fontId="18" fillId="0" borderId="32" xfId="0" applyNumberFormat="1" applyFont="1" applyBorder="1" applyAlignment="1">
      <alignment horizontal="right"/>
    </xf>
    <xf numFmtId="3" fontId="18" fillId="0" borderId="40" xfId="0" applyNumberFormat="1" applyFont="1" applyBorder="1" applyAlignment="1">
      <alignment horizontal="right"/>
    </xf>
    <xf numFmtId="0" fontId="18" fillId="34" borderId="16" xfId="0" applyFont="1" applyFill="1" applyBorder="1" applyAlignment="1">
      <alignment/>
    </xf>
    <xf numFmtId="3" fontId="18" fillId="34" borderId="19" xfId="0" applyNumberFormat="1" applyFont="1" applyFill="1" applyBorder="1" applyAlignment="1">
      <alignment horizontal="right"/>
    </xf>
    <xf numFmtId="3" fontId="18" fillId="34" borderId="32" xfId="0" applyNumberFormat="1" applyFont="1" applyFill="1" applyBorder="1" applyAlignment="1">
      <alignment horizontal="right"/>
    </xf>
    <xf numFmtId="3" fontId="18" fillId="34" borderId="40" xfId="0" applyNumberFormat="1" applyFont="1" applyFill="1" applyBorder="1" applyAlignment="1">
      <alignment horizontal="right"/>
    </xf>
    <xf numFmtId="0" fontId="18" fillId="34" borderId="36" xfId="0" applyFont="1" applyFill="1" applyBorder="1" applyAlignment="1">
      <alignment/>
    </xf>
    <xf numFmtId="3" fontId="18" fillId="34" borderId="20" xfId="0" applyNumberFormat="1" applyFont="1" applyFill="1" applyBorder="1" applyAlignment="1">
      <alignment horizontal="right"/>
    </xf>
    <xf numFmtId="3" fontId="18" fillId="34" borderId="22" xfId="0" applyNumberFormat="1" applyFont="1" applyFill="1" applyBorder="1" applyAlignment="1">
      <alignment horizontal="right"/>
    </xf>
    <xf numFmtId="3" fontId="18" fillId="34" borderId="41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9" fontId="19" fillId="0" borderId="0" xfId="62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2" fontId="19" fillId="0" borderId="29" xfId="0" applyNumberFormat="1" applyFont="1" applyFill="1" applyBorder="1" applyAlignment="1">
      <alignment horizontal="center"/>
    </xf>
    <xf numFmtId="4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20" fillId="0" borderId="0" xfId="0" applyFont="1" applyAlignment="1">
      <alignment/>
    </xf>
    <xf numFmtId="4" fontId="20" fillId="34" borderId="20" xfId="0" applyNumberFormat="1" applyFont="1" applyFill="1" applyBorder="1" applyAlignment="1">
      <alignment horizontal="right"/>
    </xf>
    <xf numFmtId="177" fontId="20" fillId="0" borderId="0" xfId="0" applyNumberFormat="1" applyFont="1" applyAlignment="1">
      <alignment/>
    </xf>
    <xf numFmtId="0" fontId="18" fillId="0" borderId="29" xfId="0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4" fontId="19" fillId="0" borderId="4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44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44" fontId="18" fillId="0" borderId="0" xfId="44" applyNumberFormat="1" applyFont="1" applyAlignment="1" quotePrefix="1">
      <alignment/>
    </xf>
    <xf numFmtId="44" fontId="18" fillId="0" borderId="0" xfId="0" applyNumberFormat="1" applyFont="1" applyAlignment="1" quotePrefix="1">
      <alignment/>
    </xf>
    <xf numFmtId="4" fontId="19" fillId="34" borderId="20" xfId="0" applyNumberFormat="1" applyFont="1" applyFill="1" applyBorder="1" applyAlignment="1">
      <alignment horizontal="right"/>
    </xf>
    <xf numFmtId="0" fontId="19" fillId="34" borderId="3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44" xfId="0" applyFont="1" applyBorder="1" applyAlignment="1">
      <alignment horizontal="right"/>
    </xf>
    <xf numFmtId="0" fontId="0" fillId="0" borderId="45" xfId="0" applyFont="1" applyBorder="1" applyAlignment="1">
      <alignment/>
    </xf>
    <xf numFmtId="6" fontId="0" fillId="0" borderId="46" xfId="0" applyNumberFormat="1" applyFont="1" applyBorder="1" applyAlignment="1">
      <alignment horizontal="right"/>
    </xf>
    <xf numFmtId="0" fontId="15" fillId="34" borderId="47" xfId="0" applyFont="1" applyFill="1" applyBorder="1" applyAlignment="1">
      <alignment/>
    </xf>
    <xf numFmtId="0" fontId="0" fillId="34" borderId="48" xfId="0" applyFont="1" applyFill="1" applyBorder="1" applyAlignment="1">
      <alignment/>
    </xf>
    <xf numFmtId="8" fontId="0" fillId="34" borderId="48" xfId="0" applyNumberFormat="1" applyFont="1" applyFill="1" applyBorder="1" applyAlignment="1">
      <alignment horizontal="right" wrapText="1"/>
    </xf>
    <xf numFmtId="8" fontId="0" fillId="34" borderId="48" xfId="0" applyNumberFormat="1" applyFont="1" applyFill="1" applyBorder="1" applyAlignment="1">
      <alignment horizontal="center" wrapText="1"/>
    </xf>
    <xf numFmtId="6" fontId="0" fillId="0" borderId="44" xfId="0" applyNumberFormat="1" applyFont="1" applyBorder="1" applyAlignment="1">
      <alignment horizontal="right"/>
    </xf>
    <xf numFmtId="0" fontId="15" fillId="34" borderId="35" xfId="0" applyFont="1" applyFill="1" applyBorder="1" applyAlignment="1">
      <alignment/>
    </xf>
    <xf numFmtId="0" fontId="0" fillId="34" borderId="49" xfId="0" applyFont="1" applyFill="1" applyBorder="1" applyAlignment="1">
      <alignment/>
    </xf>
    <xf numFmtId="37" fontId="5" fillId="32" borderId="0" xfId="59" applyNumberFormat="1" applyFont="1" applyBorder="1" applyAlignment="1">
      <alignment horizontal="right"/>
      <protection/>
    </xf>
    <xf numFmtId="0" fontId="26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19" fillId="34" borderId="22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/>
    </xf>
    <xf numFmtId="6" fontId="0" fillId="0" borderId="46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34" borderId="48" xfId="0" applyFont="1" applyFill="1" applyBorder="1" applyAlignment="1">
      <alignment horizontal="right"/>
    </xf>
    <xf numFmtId="6" fontId="0" fillId="34" borderId="48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6" fontId="0" fillId="0" borderId="44" xfId="0" applyNumberFormat="1" applyFont="1" applyFill="1" applyBorder="1" applyAlignment="1">
      <alignment horizontal="right"/>
    </xf>
    <xf numFmtId="8" fontId="0" fillId="0" borderId="44" xfId="0" applyNumberFormat="1" applyFont="1" applyFill="1" applyBorder="1" applyAlignment="1">
      <alignment horizontal="right" wrapText="1"/>
    </xf>
    <xf numFmtId="0" fontId="0" fillId="0" borderId="44" xfId="0" applyFont="1" applyFill="1" applyBorder="1" applyAlignment="1">
      <alignment horizontal="right"/>
    </xf>
    <xf numFmtId="8" fontId="0" fillId="0" borderId="44" xfId="0" applyNumberFormat="1" applyFont="1" applyFill="1" applyBorder="1" applyAlignment="1">
      <alignment horizontal="right"/>
    </xf>
    <xf numFmtId="6" fontId="0" fillId="0" borderId="44" xfId="0" applyNumberFormat="1" applyFont="1" applyFill="1" applyBorder="1" applyAlignment="1">
      <alignment horizontal="right" wrapText="1"/>
    </xf>
    <xf numFmtId="37" fontId="5" fillId="32" borderId="11" xfId="59" applyNumberFormat="1" applyFont="1" applyBorder="1">
      <alignment/>
      <protection/>
    </xf>
    <xf numFmtId="3" fontId="0" fillId="0" borderId="0" xfId="0" applyNumberFormat="1" applyFill="1" applyBorder="1" applyAlignment="1">
      <alignment/>
    </xf>
    <xf numFmtId="37" fontId="5" fillId="0" borderId="0" xfId="59" applyNumberFormat="1" applyFont="1" applyFill="1" applyBorder="1">
      <alignment/>
      <protection/>
    </xf>
    <xf numFmtId="37" fontId="5" fillId="32" borderId="29" xfId="59" applyNumberFormat="1" applyFont="1" applyBorder="1">
      <alignment/>
      <protection/>
    </xf>
    <xf numFmtId="37" fontId="0" fillId="32" borderId="50" xfId="59" applyNumberFormat="1" applyFont="1" applyBorder="1" applyAlignment="1">
      <alignment horizontal="center"/>
      <protection/>
    </xf>
    <xf numFmtId="37" fontId="5" fillId="32" borderId="50" xfId="59" applyNumberFormat="1" applyFont="1" applyBorder="1" applyAlignment="1">
      <alignment horizontal="center"/>
      <protection/>
    </xf>
    <xf numFmtId="37" fontId="5" fillId="0" borderId="0" xfId="59" applyNumberFormat="1" applyFont="1" applyFill="1" applyBorder="1" applyAlignment="1">
      <alignment horizontal="right"/>
      <protection/>
    </xf>
    <xf numFmtId="165" fontId="5" fillId="0" borderId="0" xfId="62" applyNumberFormat="1" applyFont="1" applyFill="1" applyBorder="1" applyAlignment="1">
      <alignment horizontal="center"/>
    </xf>
    <xf numFmtId="40" fontId="0" fillId="0" borderId="0" xfId="0" applyNumberFormat="1" applyAlignment="1">
      <alignment/>
    </xf>
    <xf numFmtId="40" fontId="0" fillId="34" borderId="0" xfId="0" applyNumberFormat="1" applyFill="1" applyAlignment="1">
      <alignment/>
    </xf>
    <xf numFmtId="40" fontId="0" fillId="0" borderId="0" xfId="0" applyNumberFormat="1" applyBorder="1" applyAlignment="1">
      <alignment/>
    </xf>
    <xf numFmtId="40" fontId="0" fillId="34" borderId="0" xfId="0" applyNumberFormat="1" applyFill="1" applyBorder="1" applyAlignment="1">
      <alignment/>
    </xf>
    <xf numFmtId="40" fontId="0" fillId="34" borderId="29" xfId="0" applyNumberFormat="1" applyFill="1" applyBorder="1" applyAlignment="1">
      <alignment/>
    </xf>
    <xf numFmtId="40" fontId="0" fillId="0" borderId="29" xfId="0" applyNumberFormat="1" applyBorder="1" applyAlignment="1">
      <alignment/>
    </xf>
    <xf numFmtId="0" fontId="7" fillId="0" borderId="0" xfId="0" applyFont="1" applyFill="1" applyAlignment="1">
      <alignment/>
    </xf>
    <xf numFmtId="10" fontId="5" fillId="32" borderId="0" xfId="62" applyNumberFormat="1" applyFont="1" applyFill="1" applyBorder="1" applyAlignment="1">
      <alignment/>
    </xf>
    <xf numFmtId="0" fontId="19" fillId="35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9" fillId="35" borderId="0" xfId="0" applyFont="1" applyFill="1" applyAlignment="1">
      <alignment/>
    </xf>
    <xf numFmtId="0" fontId="13" fillId="35" borderId="17" xfId="0" applyFont="1" applyFill="1" applyBorder="1" applyAlignment="1">
      <alignment horizontal="center"/>
    </xf>
    <xf numFmtId="4" fontId="13" fillId="35" borderId="17" xfId="0" applyNumberFormat="1" applyFont="1" applyFill="1" applyBorder="1" applyAlignment="1">
      <alignment horizontal="center"/>
    </xf>
    <xf numFmtId="0" fontId="19" fillId="35" borderId="0" xfId="0" applyFont="1" applyFill="1" applyAlignment="1">
      <alignment horizontal="right"/>
    </xf>
    <xf numFmtId="4" fontId="19" fillId="35" borderId="0" xfId="0" applyNumberFormat="1" applyFont="1" applyFill="1" applyAlignment="1">
      <alignment horizontal="center"/>
    </xf>
    <xf numFmtId="4" fontId="19" fillId="35" borderId="0" xfId="0" applyNumberFormat="1" applyFont="1" applyFill="1" applyAlignment="1">
      <alignment/>
    </xf>
    <xf numFmtId="0" fontId="13" fillId="0" borderId="31" xfId="0" applyFont="1" applyFill="1" applyBorder="1" applyAlignment="1">
      <alignment horizontal="center" wrapText="1"/>
    </xf>
    <xf numFmtId="10" fontId="5" fillId="0" borderId="0" xfId="62" applyNumberFormat="1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177" fontId="5" fillId="0" borderId="18" xfId="0" applyNumberFormat="1" applyFont="1" applyFill="1" applyBorder="1" applyAlignment="1">
      <alignment horizontal="center"/>
    </xf>
    <xf numFmtId="177" fontId="5" fillId="0" borderId="51" xfId="0" applyNumberFormat="1" applyFont="1" applyFill="1" applyBorder="1" applyAlignment="1">
      <alignment horizontal="center"/>
    </xf>
    <xf numFmtId="177" fontId="5" fillId="0" borderId="52" xfId="0" applyNumberFormat="1" applyFont="1" applyFill="1" applyBorder="1" applyAlignment="1">
      <alignment horizontal="center"/>
    </xf>
    <xf numFmtId="177" fontId="5" fillId="0" borderId="53" xfId="0" applyNumberFormat="1" applyFont="1" applyFill="1" applyBorder="1" applyAlignment="1">
      <alignment horizontal="center"/>
    </xf>
    <xf numFmtId="37" fontId="5" fillId="32" borderId="44" xfId="59" applyNumberFormat="1" applyFont="1" applyBorder="1">
      <alignment/>
      <protection/>
    </xf>
    <xf numFmtId="3" fontId="18" fillId="0" borderId="54" xfId="0" applyNumberFormat="1" applyFont="1" applyBorder="1" applyAlignment="1">
      <alignment horizontal="right"/>
    </xf>
    <xf numFmtId="37" fontId="5" fillId="32" borderId="55" xfId="59" applyNumberFormat="1" applyFont="1" applyBorder="1" applyAlignment="1">
      <alignment horizontal="center"/>
      <protection/>
    </xf>
    <xf numFmtId="3" fontId="5" fillId="32" borderId="44" xfId="59" applyNumberFormat="1" applyFont="1" applyBorder="1">
      <alignment/>
      <protection/>
    </xf>
    <xf numFmtId="3" fontId="5" fillId="32" borderId="46" xfId="59" applyNumberFormat="1" applyFont="1" applyBorder="1">
      <alignment/>
      <protection/>
    </xf>
    <xf numFmtId="0" fontId="13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0" fontId="0" fillId="32" borderId="0" xfId="62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5" fillId="0" borderId="29" xfId="0" applyNumberFormat="1" applyFont="1" applyFill="1" applyBorder="1" applyAlignment="1">
      <alignment horizontal="right"/>
    </xf>
    <xf numFmtId="177" fontId="5" fillId="0" borderId="19" xfId="0" applyNumberFormat="1" applyFont="1" applyFill="1" applyBorder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177" fontId="5" fillId="0" borderId="56" xfId="0" applyNumberFormat="1" applyFont="1" applyFill="1" applyBorder="1" applyAlignment="1">
      <alignment horizontal="right"/>
    </xf>
    <xf numFmtId="177" fontId="5" fillId="0" borderId="57" xfId="0" applyNumberFormat="1" applyFont="1" applyFill="1" applyBorder="1" applyAlignment="1">
      <alignment horizontal="right"/>
    </xf>
    <xf numFmtId="177" fontId="5" fillId="0" borderId="19" xfId="0" applyNumberFormat="1" applyFont="1" applyFill="1" applyBorder="1" applyAlignment="1" quotePrefix="1">
      <alignment horizontal="right"/>
    </xf>
    <xf numFmtId="177" fontId="5" fillId="0" borderId="56" xfId="0" applyNumberFormat="1" applyFont="1" applyFill="1" applyBorder="1" applyAlignment="1" quotePrefix="1">
      <alignment horizontal="right"/>
    </xf>
    <xf numFmtId="177" fontId="5" fillId="0" borderId="30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center"/>
    </xf>
    <xf numFmtId="0" fontId="19" fillId="0" borderId="16" xfId="0" applyFont="1" applyFill="1" applyBorder="1" applyAlignment="1">
      <alignment/>
    </xf>
    <xf numFmtId="4" fontId="19" fillId="0" borderId="19" xfId="0" applyNumberFormat="1" applyFont="1" applyFill="1" applyBorder="1" applyAlignment="1">
      <alignment horizontal="right"/>
    </xf>
    <xf numFmtId="4" fontId="19" fillId="0" borderId="32" xfId="0" applyNumberFormat="1" applyFont="1" applyFill="1" applyBorder="1" applyAlignment="1">
      <alignment horizontal="right"/>
    </xf>
    <xf numFmtId="0" fontId="19" fillId="36" borderId="16" xfId="0" applyFont="1" applyFill="1" applyBorder="1" applyAlignment="1">
      <alignment/>
    </xf>
    <xf numFmtId="4" fontId="19" fillId="36" borderId="19" xfId="0" applyNumberFormat="1" applyFont="1" applyFill="1" applyBorder="1" applyAlignment="1">
      <alignment horizontal="right"/>
    </xf>
    <xf numFmtId="4" fontId="19" fillId="36" borderId="3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5" fillId="0" borderId="29" xfId="0" applyNumberFormat="1" applyFont="1" applyFill="1" applyBorder="1" applyAlignment="1">
      <alignment horizontal="right"/>
    </xf>
    <xf numFmtId="177" fontId="5" fillId="0" borderId="58" xfId="0" applyNumberFormat="1" applyFont="1" applyFill="1" applyBorder="1" applyAlignment="1">
      <alignment horizontal="right"/>
    </xf>
    <xf numFmtId="4" fontId="0" fillId="0" borderId="59" xfId="0" applyNumberFormat="1" applyFill="1" applyBorder="1" applyAlignment="1">
      <alignment/>
    </xf>
    <xf numFmtId="0" fontId="0" fillId="0" borderId="59" xfId="0" applyFill="1" applyBorder="1" applyAlignment="1">
      <alignment/>
    </xf>
    <xf numFmtId="177" fontId="5" fillId="0" borderId="6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3" fontId="5" fillId="32" borderId="0" xfId="59" applyNumberFormat="1" applyFont="1" applyBorder="1">
      <alignment/>
      <protection/>
    </xf>
    <xf numFmtId="0" fontId="18" fillId="0" borderId="16" xfId="0" applyFont="1" applyFill="1" applyBorder="1" applyAlignment="1">
      <alignment/>
    </xf>
    <xf numFmtId="3" fontId="18" fillId="0" borderId="19" xfId="0" applyNumberFormat="1" applyFont="1" applyFill="1" applyBorder="1" applyAlignment="1">
      <alignment horizontal="right"/>
    </xf>
    <xf numFmtId="3" fontId="18" fillId="0" borderId="32" xfId="0" applyNumberFormat="1" applyFont="1" applyFill="1" applyBorder="1" applyAlignment="1">
      <alignment horizontal="right"/>
    </xf>
    <xf numFmtId="3" fontId="18" fillId="0" borderId="40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6" fillId="0" borderId="0" xfId="0" applyFont="1" applyAlignment="1">
      <alignment horizontal="left"/>
    </xf>
    <xf numFmtId="176" fontId="5" fillId="0" borderId="18" xfId="0" applyNumberFormat="1" applyFont="1" applyFill="1" applyBorder="1" applyAlignment="1">
      <alignment horizontal="center"/>
    </xf>
    <xf numFmtId="4" fontId="19" fillId="0" borderId="61" xfId="0" applyNumberFormat="1" applyFont="1" applyBorder="1" applyAlignment="1">
      <alignment horizontal="right"/>
    </xf>
    <xf numFmtId="4" fontId="19" fillId="36" borderId="61" xfId="0" applyNumberFormat="1" applyFont="1" applyFill="1" applyBorder="1" applyAlignment="1">
      <alignment horizontal="right"/>
    </xf>
    <xf numFmtId="4" fontId="19" fillId="0" borderId="61" xfId="0" applyNumberFormat="1" applyFont="1" applyFill="1" applyBorder="1" applyAlignment="1">
      <alignment horizontal="right"/>
    </xf>
    <xf numFmtId="4" fontId="19" fillId="34" borderId="61" xfId="0" applyNumberFormat="1" applyFont="1" applyFill="1" applyBorder="1" applyAlignment="1">
      <alignment horizontal="right"/>
    </xf>
    <xf numFmtId="4" fontId="19" fillId="34" borderId="62" xfId="0" applyNumberFormat="1" applyFont="1" applyFill="1" applyBorder="1" applyAlignment="1">
      <alignment horizontal="right"/>
    </xf>
    <xf numFmtId="4" fontId="19" fillId="0" borderId="40" xfId="0" applyNumberFormat="1" applyFont="1" applyBorder="1" applyAlignment="1">
      <alignment horizontal="right"/>
    </xf>
    <xf numFmtId="4" fontId="19" fillId="36" borderId="40" xfId="0" applyNumberFormat="1" applyFont="1" applyFill="1" applyBorder="1" applyAlignment="1">
      <alignment horizontal="right"/>
    </xf>
    <xf numFmtId="4" fontId="19" fillId="0" borderId="40" xfId="0" applyNumberFormat="1" applyFont="1" applyFill="1" applyBorder="1" applyAlignment="1">
      <alignment horizontal="right"/>
    </xf>
    <xf numFmtId="4" fontId="19" fillId="34" borderId="40" xfId="0" applyNumberFormat="1" applyFont="1" applyFill="1" applyBorder="1" applyAlignment="1">
      <alignment horizontal="right"/>
    </xf>
    <xf numFmtId="4" fontId="19" fillId="34" borderId="41" xfId="0" applyNumberFormat="1" applyFont="1" applyFill="1" applyBorder="1" applyAlignment="1">
      <alignment horizontal="right"/>
    </xf>
    <xf numFmtId="0" fontId="13" fillId="0" borderId="29" xfId="0" applyFont="1" applyFill="1" applyBorder="1" applyAlignment="1">
      <alignment horizontal="center"/>
    </xf>
    <xf numFmtId="4" fontId="18" fillId="0" borderId="0" xfId="0" applyNumberFormat="1" applyFont="1" applyAlignment="1">
      <alignment/>
    </xf>
    <xf numFmtId="0" fontId="1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10" xfId="0" applyFont="1" applyFill="1" applyBorder="1" applyAlignment="1">
      <alignment/>
    </xf>
    <xf numFmtId="0" fontId="69" fillId="0" borderId="12" xfId="0" applyFont="1" applyFill="1" applyBorder="1" applyAlignment="1">
      <alignment/>
    </xf>
    <xf numFmtId="0" fontId="68" fillId="0" borderId="12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56" xfId="0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177" fontId="5" fillId="0" borderId="20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1" fillId="0" borderId="49" xfId="0" applyNumberFormat="1" applyFont="1" applyFill="1" applyBorder="1" applyAlignment="1">
      <alignment horizontal="center"/>
    </xf>
    <xf numFmtId="165" fontId="4" fillId="0" borderId="44" xfId="0" applyNumberFormat="1" applyFont="1" applyFill="1" applyBorder="1" applyAlignment="1">
      <alignment horizontal="center"/>
    </xf>
    <xf numFmtId="165" fontId="4" fillId="0" borderId="63" xfId="0" applyNumberFormat="1" applyFont="1" applyFill="1" applyBorder="1" applyAlignment="1">
      <alignment horizontal="center"/>
    </xf>
    <xf numFmtId="165" fontId="5" fillId="0" borderId="44" xfId="0" applyNumberFormat="1" applyFont="1" applyFill="1" applyBorder="1" applyAlignment="1">
      <alignment horizontal="center"/>
    </xf>
    <xf numFmtId="165" fontId="5" fillId="0" borderId="46" xfId="0" applyNumberFormat="1" applyFont="1" applyFill="1" applyBorder="1" applyAlignment="1">
      <alignment horizontal="center"/>
    </xf>
    <xf numFmtId="165" fontId="0" fillId="0" borderId="44" xfId="0" applyNumberFormat="1" applyFill="1" applyBorder="1" applyAlignment="1">
      <alignment horizontal="center"/>
    </xf>
    <xf numFmtId="165" fontId="5" fillId="0" borderId="48" xfId="0" applyNumberFormat="1" applyFont="1" applyFill="1" applyBorder="1" applyAlignment="1">
      <alignment horizontal="center"/>
    </xf>
    <xf numFmtId="165" fontId="5" fillId="0" borderId="63" xfId="0" applyNumberFormat="1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165" fontId="5" fillId="0" borderId="51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 horizontal="center"/>
    </xf>
    <xf numFmtId="4" fontId="20" fillId="0" borderId="19" xfId="0" applyNumberFormat="1" applyFont="1" applyFill="1" applyBorder="1" applyAlignment="1">
      <alignment horizontal="right"/>
    </xf>
    <xf numFmtId="0" fontId="0" fillId="0" borderId="45" xfId="58" applyFont="1" applyBorder="1">
      <alignment/>
      <protection/>
    </xf>
    <xf numFmtId="37" fontId="0" fillId="32" borderId="55" xfId="59" applyNumberFormat="1" applyFont="1" applyBorder="1" applyAlignment="1">
      <alignment horizontal="center"/>
      <protection/>
    </xf>
    <xf numFmtId="37" fontId="0" fillId="32" borderId="44" xfId="59" applyNumberFormat="1" applyFont="1" applyBorder="1">
      <alignment/>
      <protection/>
    </xf>
    <xf numFmtId="0" fontId="0" fillId="0" borderId="63" xfId="0" applyFont="1" applyFill="1" applyBorder="1" applyAlignment="1">
      <alignment horizontal="right"/>
    </xf>
    <xf numFmtId="0" fontId="6" fillId="0" borderId="0" xfId="0" applyFont="1" applyAlignment="1">
      <alignment/>
    </xf>
    <xf numFmtId="4" fontId="18" fillId="34" borderId="32" xfId="0" applyNumberFormat="1" applyFont="1" applyFill="1" applyBorder="1" applyAlignment="1">
      <alignment horizontal="right"/>
    </xf>
    <xf numFmtId="4" fontId="18" fillId="34" borderId="40" xfId="0" applyNumberFormat="1" applyFont="1" applyFill="1" applyBorder="1" applyAlignment="1">
      <alignment horizontal="right"/>
    </xf>
    <xf numFmtId="0" fontId="70" fillId="0" borderId="0" xfId="0" applyFont="1" applyFill="1" applyAlignment="1">
      <alignment/>
    </xf>
    <xf numFmtId="10" fontId="0" fillId="0" borderId="0" xfId="62" applyNumberFormat="1" applyFont="1" applyFill="1" applyAlignment="1">
      <alignment/>
    </xf>
    <xf numFmtId="10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center"/>
    </xf>
    <xf numFmtId="0" fontId="71" fillId="0" borderId="0" xfId="0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3" fontId="4" fillId="0" borderId="0" xfId="0" applyNumberFormat="1" applyFont="1" applyFill="1" applyBorder="1" applyAlignment="1">
      <alignment horizontal="center"/>
    </xf>
    <xf numFmtId="37" fontId="5" fillId="32" borderId="0" xfId="59" applyFont="1" applyBorder="1">
      <alignment/>
      <protection/>
    </xf>
    <xf numFmtId="37" fontId="15" fillId="32" borderId="36" xfId="59" applyNumberFormat="1" applyFont="1" applyBorder="1" applyAlignment="1">
      <alignment horizontal="right"/>
      <protection/>
    </xf>
    <xf numFmtId="37" fontId="0" fillId="32" borderId="11" xfId="59" applyNumberFormat="1" applyFont="1" applyBorder="1">
      <alignment/>
      <protection/>
    </xf>
    <xf numFmtId="37" fontId="0" fillId="32" borderId="11" xfId="59" applyFont="1" applyBorder="1">
      <alignment/>
      <protection/>
    </xf>
    <xf numFmtId="37" fontId="0" fillId="32" borderId="63" xfId="59" applyFont="1" applyBorder="1">
      <alignment/>
      <protection/>
    </xf>
    <xf numFmtId="37" fontId="0" fillId="32" borderId="50" xfId="59" applyNumberFormat="1" applyFont="1" applyBorder="1" applyAlignment="1">
      <alignment horizontal="right"/>
      <protection/>
    </xf>
    <xf numFmtId="37" fontId="5" fillId="32" borderId="45" xfId="59" applyNumberFormat="1" applyFont="1" applyBorder="1" applyAlignment="1">
      <alignment horizontal="right"/>
      <protection/>
    </xf>
    <xf numFmtId="37" fontId="5" fillId="32" borderId="29" xfId="59" applyFont="1" applyBorder="1">
      <alignment/>
      <protection/>
    </xf>
    <xf numFmtId="3" fontId="5" fillId="32" borderId="29" xfId="59" applyNumberFormat="1" applyFont="1" applyBorder="1">
      <alignment/>
      <protection/>
    </xf>
    <xf numFmtId="37" fontId="0" fillId="0" borderId="11" xfId="59" applyNumberFormat="1" applyFont="1" applyFill="1" applyBorder="1">
      <alignment/>
      <protection/>
    </xf>
    <xf numFmtId="37" fontId="16" fillId="32" borderId="16" xfId="59" applyNumberFormat="1" applyFont="1" applyBorder="1" applyAlignment="1">
      <alignment horizontal="right"/>
      <protection/>
    </xf>
    <xf numFmtId="37" fontId="17" fillId="32" borderId="36" xfId="59" applyNumberFormat="1" applyFont="1" applyBorder="1" applyAlignment="1">
      <alignment horizontal="right"/>
      <protection/>
    </xf>
    <xf numFmtId="37" fontId="5" fillId="32" borderId="11" xfId="59" applyFont="1" applyBorder="1">
      <alignment/>
      <protection/>
    </xf>
    <xf numFmtId="37" fontId="5" fillId="32" borderId="63" xfId="59" applyFont="1" applyBorder="1">
      <alignment/>
      <protection/>
    </xf>
    <xf numFmtId="37" fontId="5" fillId="32" borderId="15" xfId="59" applyNumberFormat="1" applyFont="1" applyBorder="1" applyAlignment="1">
      <alignment horizontal="right"/>
      <protection/>
    </xf>
    <xf numFmtId="37" fontId="5" fillId="32" borderId="50" xfId="59" applyNumberFormat="1" applyFont="1" applyBorder="1" applyAlignment="1">
      <alignment horizontal="right"/>
      <protection/>
    </xf>
    <xf numFmtId="37" fontId="16" fillId="32" borderId="45" xfId="59" applyNumberFormat="1" applyFont="1" applyBorder="1" applyAlignment="1">
      <alignment horizontal="right"/>
      <protection/>
    </xf>
    <xf numFmtId="37" fontId="5" fillId="32" borderId="29" xfId="59" applyNumberFormat="1" applyFont="1" applyBorder="1" applyAlignment="1">
      <alignment horizontal="right"/>
      <protection/>
    </xf>
    <xf numFmtId="177" fontId="5" fillId="0" borderId="0" xfId="58" applyNumberFormat="1" applyFont="1" applyFill="1" applyBorder="1" applyAlignment="1">
      <alignment horizontal="right"/>
      <protection/>
    </xf>
    <xf numFmtId="177" fontId="5" fillId="0" borderId="29" xfId="58" applyNumberFormat="1" applyFont="1" applyFill="1" applyBorder="1" applyAlignment="1">
      <alignment horizontal="right"/>
      <protection/>
    </xf>
    <xf numFmtId="177" fontId="5" fillId="0" borderId="64" xfId="58" applyNumberFormat="1" applyFont="1" applyFill="1" applyBorder="1" applyAlignment="1">
      <alignment horizontal="right"/>
      <protection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3" fontId="18" fillId="0" borderId="67" xfId="0" applyNumberFormat="1" applyFont="1" applyBorder="1" applyAlignment="1">
      <alignment horizontal="right"/>
    </xf>
    <xf numFmtId="3" fontId="18" fillId="34" borderId="67" xfId="0" applyNumberFormat="1" applyFont="1" applyFill="1" applyBorder="1" applyAlignment="1">
      <alignment horizontal="right"/>
    </xf>
    <xf numFmtId="3" fontId="18" fillId="0" borderId="67" xfId="0" applyNumberFormat="1" applyFont="1" applyFill="1" applyBorder="1" applyAlignment="1">
      <alignment horizontal="right"/>
    </xf>
    <xf numFmtId="4" fontId="18" fillId="34" borderId="67" xfId="0" applyNumberFormat="1" applyFont="1" applyFill="1" applyBorder="1" applyAlignment="1">
      <alignment horizontal="right"/>
    </xf>
    <xf numFmtId="3" fontId="18" fillId="34" borderId="68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9" fillId="0" borderId="16" xfId="0" applyFont="1" applyFill="1" applyBorder="1" applyAlignment="1">
      <alignment/>
    </xf>
    <xf numFmtId="0" fontId="69" fillId="0" borderId="45" xfId="0" applyFont="1" applyFill="1" applyBorder="1" applyAlignment="1">
      <alignment/>
    </xf>
    <xf numFmtId="0" fontId="68" fillId="0" borderId="16" xfId="0" applyFont="1" applyFill="1" applyBorder="1" applyAlignment="1">
      <alignment/>
    </xf>
    <xf numFmtId="0" fontId="68" fillId="0" borderId="45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3" fontId="69" fillId="0" borderId="16" xfId="0" applyNumberFormat="1" applyFont="1" applyFill="1" applyBorder="1" applyAlignment="1">
      <alignment/>
    </xf>
    <xf numFmtId="177" fontId="69" fillId="0" borderId="0" xfId="0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/>
    </xf>
    <xf numFmtId="177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 quotePrefix="1">
      <alignment horizontal="right"/>
    </xf>
    <xf numFmtId="194" fontId="5" fillId="0" borderId="0" xfId="0" applyNumberFormat="1" applyFont="1" applyFill="1" applyBorder="1" applyAlignment="1">
      <alignment horizontal="right"/>
    </xf>
    <xf numFmtId="177" fontId="5" fillId="0" borderId="22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center"/>
    </xf>
    <xf numFmtId="177" fontId="5" fillId="0" borderId="69" xfId="0" applyNumberFormat="1" applyFont="1" applyFill="1" applyBorder="1" applyAlignment="1">
      <alignment horizontal="right"/>
    </xf>
    <xf numFmtId="177" fontId="5" fillId="0" borderId="64" xfId="0" applyNumberFormat="1" applyFont="1" applyFill="1" applyBorder="1" applyAlignment="1">
      <alignment horizontal="right"/>
    </xf>
    <xf numFmtId="176" fontId="5" fillId="0" borderId="64" xfId="0" applyNumberFormat="1" applyFont="1" applyFill="1" applyBorder="1" applyAlignment="1">
      <alignment horizontal="right"/>
    </xf>
    <xf numFmtId="3" fontId="5" fillId="0" borderId="70" xfId="0" applyNumberFormat="1" applyFont="1" applyFill="1" applyBorder="1" applyAlignment="1">
      <alignment horizontal="center"/>
    </xf>
    <xf numFmtId="165" fontId="5" fillId="0" borderId="53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5" fillId="0" borderId="24" xfId="0" applyFont="1" applyFill="1" applyBorder="1" applyAlignment="1">
      <alignment horizontal="center"/>
    </xf>
    <xf numFmtId="165" fontId="5" fillId="0" borderId="71" xfId="0" applyNumberFormat="1" applyFont="1" applyFill="1" applyBorder="1" applyAlignment="1">
      <alignment horizontal="center"/>
    </xf>
    <xf numFmtId="0" fontId="19" fillId="37" borderId="0" xfId="0" applyFont="1" applyFill="1" applyAlignment="1">
      <alignment/>
    </xf>
    <xf numFmtId="0" fontId="70" fillId="37" borderId="0" xfId="0" applyFont="1" applyFill="1" applyAlignment="1">
      <alignment/>
    </xf>
    <xf numFmtId="0" fontId="19" fillId="37" borderId="0" xfId="0" applyFont="1" applyFill="1" applyBorder="1" applyAlignment="1">
      <alignment/>
    </xf>
    <xf numFmtId="4" fontId="70" fillId="0" borderId="0" xfId="0" applyNumberFormat="1" applyFont="1" applyFill="1" applyAlignment="1">
      <alignment horizontal="center"/>
    </xf>
    <xf numFmtId="4" fontId="70" fillId="0" borderId="0" xfId="0" applyNumberFormat="1" applyFont="1" applyFill="1" applyBorder="1" applyAlignment="1">
      <alignment horizontal="center"/>
    </xf>
    <xf numFmtId="177" fontId="5" fillId="0" borderId="59" xfId="0" applyNumberFormat="1" applyFont="1" applyFill="1" applyBorder="1" applyAlignment="1">
      <alignment horizontal="right"/>
    </xf>
    <xf numFmtId="176" fontId="5" fillId="0" borderId="59" xfId="0" applyNumberFormat="1" applyFont="1" applyFill="1" applyBorder="1" applyAlignment="1">
      <alignment horizontal="right"/>
    </xf>
    <xf numFmtId="3" fontId="5" fillId="0" borderId="72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/>
    </xf>
    <xf numFmtId="0" fontId="11" fillId="0" borderId="73" xfId="0" applyFont="1" applyBorder="1" applyAlignment="1">
      <alignment/>
    </xf>
    <xf numFmtId="0" fontId="11" fillId="0" borderId="74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37" fontId="5" fillId="32" borderId="21" xfId="59" applyNumberFormat="1" applyFont="1" applyBorder="1" applyAlignment="1">
      <alignment horizontal="right"/>
      <protection/>
    </xf>
    <xf numFmtId="37" fontId="5" fillId="32" borderId="24" xfId="59" applyNumberFormat="1" applyFont="1" applyBorder="1" applyAlignment="1">
      <alignment horizontal="right"/>
      <protection/>
    </xf>
    <xf numFmtId="37" fontId="5" fillId="32" borderId="23" xfId="59" applyNumberFormat="1" applyFont="1" applyBorder="1">
      <alignment/>
      <protection/>
    </xf>
    <xf numFmtId="10" fontId="5" fillId="32" borderId="21" xfId="59" applyNumberFormat="1" applyFont="1" applyBorder="1">
      <alignment/>
      <protection/>
    </xf>
    <xf numFmtId="37" fontId="0" fillId="32" borderId="21" xfId="59" applyNumberFormat="1" applyFont="1" applyBorder="1">
      <alignment/>
      <protection/>
    </xf>
    <xf numFmtId="37" fontId="5" fillId="32" borderId="75" xfId="59" applyNumberFormat="1" applyFont="1" applyBorder="1" applyAlignment="1">
      <alignment horizontal="right"/>
      <protection/>
    </xf>
    <xf numFmtId="37" fontId="6" fillId="32" borderId="21" xfId="59" applyNumberFormat="1" applyFont="1" applyBorder="1">
      <alignment/>
      <protection/>
    </xf>
    <xf numFmtId="37" fontId="5" fillId="32" borderId="21" xfId="59" applyNumberFormat="1" applyFont="1" applyBorder="1">
      <alignment/>
      <protection/>
    </xf>
    <xf numFmtId="37" fontId="5" fillId="32" borderId="24" xfId="59" applyNumberFormat="1" applyFont="1" applyBorder="1">
      <alignment/>
      <protection/>
    </xf>
    <xf numFmtId="37" fontId="0" fillId="32" borderId="23" xfId="59" applyNumberFormat="1" applyFont="1" applyBorder="1">
      <alignment/>
      <protection/>
    </xf>
    <xf numFmtId="10" fontId="1" fillId="32" borderId="21" xfId="59" applyNumberFormat="1" applyFont="1" applyBorder="1">
      <alignment/>
      <protection/>
    </xf>
    <xf numFmtId="37" fontId="0" fillId="32" borderId="75" xfId="59" applyNumberFormat="1" applyFont="1" applyBorder="1" applyAlignment="1">
      <alignment horizontal="right"/>
      <protection/>
    </xf>
    <xf numFmtId="0" fontId="18" fillId="0" borderId="21" xfId="0" applyFont="1" applyBorder="1" applyAlignment="1">
      <alignment horizontal="center"/>
    </xf>
    <xf numFmtId="0" fontId="5" fillId="0" borderId="61" xfId="0" applyFont="1" applyFill="1" applyBorder="1" applyAlignment="1">
      <alignment/>
    </xf>
    <xf numFmtId="0" fontId="5" fillId="0" borderId="76" xfId="0" applyFont="1" applyFill="1" applyBorder="1" applyAlignment="1">
      <alignment/>
    </xf>
    <xf numFmtId="37" fontId="8" fillId="32" borderId="0" xfId="59" applyNumberFormat="1" applyFont="1" applyBorder="1">
      <alignment/>
      <protection/>
    </xf>
    <xf numFmtId="0" fontId="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44" xfId="0" applyFont="1" applyFill="1" applyBorder="1" applyAlignment="1">
      <alignment horizontal="right"/>
    </xf>
    <xf numFmtId="6" fontId="0" fillId="34" borderId="44" xfId="0" applyNumberFormat="1" applyFont="1" applyFill="1" applyBorder="1" applyAlignment="1">
      <alignment horizontal="right"/>
    </xf>
    <xf numFmtId="0" fontId="15" fillId="0" borderId="47" xfId="0" applyFont="1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34" borderId="45" xfId="0" applyFont="1" applyFill="1" applyBorder="1" applyAlignment="1">
      <alignment/>
    </xf>
    <xf numFmtId="0" fontId="0" fillId="34" borderId="46" xfId="0" applyFont="1" applyFill="1" applyBorder="1" applyAlignment="1">
      <alignment horizontal="right"/>
    </xf>
    <xf numFmtId="0" fontId="15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5" fontId="0" fillId="34" borderId="44" xfId="44" applyNumberFormat="1" applyFont="1" applyFill="1" applyBorder="1" applyAlignment="1">
      <alignment horizontal="right"/>
    </xf>
    <xf numFmtId="0" fontId="0" fillId="0" borderId="48" xfId="0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44" xfId="0" applyFont="1" applyFill="1" applyBorder="1" applyAlignment="1">
      <alignment horizontal="right"/>
    </xf>
    <xf numFmtId="8" fontId="0" fillId="34" borderId="46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6" fontId="0" fillId="0" borderId="63" xfId="0" applyNumberFormat="1" applyFont="1" applyBorder="1" applyAlignment="1">
      <alignment horizontal="right"/>
    </xf>
    <xf numFmtId="0" fontId="1" fillId="0" borderId="3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3" fillId="0" borderId="79" xfId="0" applyFont="1" applyBorder="1" applyAlignment="1">
      <alignment horizontal="center"/>
    </xf>
    <xf numFmtId="0" fontId="23" fillId="0" borderId="80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37" fontId="1" fillId="32" borderId="0" xfId="59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able_74AB_Annual 1990-01 FT Tuition and Fees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0</xdr:row>
      <xdr:rowOff>133350</xdr:rowOff>
    </xdr:from>
    <xdr:to>
      <xdr:col>13</xdr:col>
      <xdr:colOff>47625</xdr:colOff>
      <xdr:row>20</xdr:row>
      <xdr:rowOff>133350</xdr:rowOff>
    </xdr:to>
    <xdr:pic>
      <xdr:nvPicPr>
        <xdr:cNvPr id="1" name="Picture 1" descr="Bitmap in UR_Cover3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33350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0</xdr:row>
      <xdr:rowOff>38100</xdr:rowOff>
    </xdr:from>
    <xdr:to>
      <xdr:col>10</xdr:col>
      <xdr:colOff>0</xdr:colOff>
      <xdr:row>2</xdr:row>
      <xdr:rowOff>190500</xdr:rowOff>
    </xdr:to>
    <xdr:pic>
      <xdr:nvPicPr>
        <xdr:cNvPr id="1" name="Picture 1" descr="Bitmap in UR_Cover3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38100"/>
          <a:ext cx="876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ohnd\Desktop\tuition%20increa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Shared\FACTBOOK\FB01\Section%207\Table_74AB_Annual%201990-01%20FT%20Tuition%20and%20Fe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yr Sum"/>
      <sheetName val="Sheet1 (2)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ur YR"/>
      <sheetName val="Two YR"/>
    </sheetNames>
    <sheetDataSet>
      <sheetData sheetId="1">
        <row r="1">
          <cell r="A1" t="str">
            <v>TABLE 74B.  Annual Full-time Undergraduate</v>
          </cell>
          <cell r="AJ1" t="str">
            <v>TABLE 72B.  TUITION &amp; REQUIRED FEES</v>
          </cell>
        </row>
        <row r="2">
          <cell r="A2" t="str">
            <v>Tuition and Mandatory Fees for Two-Year Institutions (1991-1992 through 2001-2002)</v>
          </cell>
          <cell r="AJ2" t="str">
            <v>ANNUAL FULL-TIME UNDERGRADUATE TUITION &amp; FEES</v>
          </cell>
        </row>
        <row r="3">
          <cell r="AJ3" t="str">
            <v>FOR TWO YEAR INSTITUTIONS:   1990-91 through 2000-01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5"/>
  <sheetViews>
    <sheetView tabSelected="1" zoomScaleSheetLayoutView="100" workbookViewId="0" topLeftCell="A28">
      <selection activeCell="H49" sqref="H49"/>
    </sheetView>
  </sheetViews>
  <sheetFormatPr defaultColWidth="9.140625" defaultRowHeight="12.75"/>
  <cols>
    <col min="1" max="1" width="8.00390625" style="1" customWidth="1"/>
    <col min="2" max="2" width="41.8515625" style="1" bestFit="1" customWidth="1"/>
    <col min="3" max="3" width="12.421875" style="1" customWidth="1"/>
    <col min="4" max="4" width="8.140625" style="1" bestFit="1" customWidth="1"/>
    <col min="5" max="5" width="8.8515625" style="16" bestFit="1" customWidth="1"/>
    <col min="6" max="6" width="13.8515625" style="16" bestFit="1" customWidth="1"/>
    <col min="7" max="7" width="6.421875" style="16" customWidth="1"/>
    <col min="8" max="8" width="7.8515625" style="16" customWidth="1"/>
    <col min="9" max="9" width="13.00390625" style="1" customWidth="1"/>
    <col min="10" max="10" width="6.28125" style="1" customWidth="1"/>
    <col min="11" max="11" width="8.57421875" style="60" customWidth="1"/>
    <col min="12" max="12" width="0" style="16" hidden="1" customWidth="1"/>
    <col min="13" max="17" width="0" style="1" hidden="1" customWidth="1"/>
    <col min="18" max="18" width="9.140625" style="1" customWidth="1"/>
    <col min="19" max="19" width="10.140625" style="1" bestFit="1" customWidth="1"/>
    <col min="20" max="16384" width="9.140625" style="1" customWidth="1"/>
  </cols>
  <sheetData>
    <row r="1" spans="1:11" ht="12.7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1:11" ht="12.75">
      <c r="A2" s="424" t="s">
        <v>517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</row>
    <row r="3" spans="1:11" ht="13.5" thickBot="1">
      <c r="A3" s="51"/>
      <c r="B3" s="51"/>
      <c r="C3" s="51"/>
      <c r="D3" s="51"/>
      <c r="E3" s="67"/>
      <c r="F3" s="51"/>
      <c r="G3" s="67"/>
      <c r="H3" s="67"/>
      <c r="I3" s="51"/>
      <c r="J3" s="51"/>
      <c r="K3" s="282" t="s">
        <v>535</v>
      </c>
    </row>
    <row r="4" spans="1:16" s="2" customFormat="1" ht="12" customHeight="1" thickTop="1">
      <c r="A4" s="273"/>
      <c r="B4" s="273"/>
      <c r="C4" s="274" t="s">
        <v>442</v>
      </c>
      <c r="D4" s="421" t="s">
        <v>513</v>
      </c>
      <c r="E4" s="422"/>
      <c r="F4" s="422"/>
      <c r="G4" s="422"/>
      <c r="H4" s="422"/>
      <c r="I4" s="422"/>
      <c r="J4" s="423"/>
      <c r="K4" s="283"/>
      <c r="L4" s="129"/>
      <c r="O4" s="64"/>
      <c r="P4" s="1"/>
    </row>
    <row r="5" spans="1:15" ht="12.75">
      <c r="A5" s="275"/>
      <c r="B5" s="275"/>
      <c r="C5" s="53" t="s">
        <v>253</v>
      </c>
      <c r="D5" s="427" t="s">
        <v>253</v>
      </c>
      <c r="E5" s="428"/>
      <c r="F5" s="428"/>
      <c r="G5" s="71" t="s">
        <v>118</v>
      </c>
      <c r="H5" s="71" t="s">
        <v>118</v>
      </c>
      <c r="I5" s="5" t="s">
        <v>253</v>
      </c>
      <c r="J5" s="55"/>
      <c r="K5" s="284"/>
      <c r="M5" s="3"/>
      <c r="O5" s="52" t="s">
        <v>338</v>
      </c>
    </row>
    <row r="6" spans="1:15" ht="12.75">
      <c r="A6" s="341"/>
      <c r="B6" s="275"/>
      <c r="C6" s="53" t="s">
        <v>443</v>
      </c>
      <c r="D6" s="425" t="s">
        <v>514</v>
      </c>
      <c r="E6" s="426"/>
      <c r="F6" s="426"/>
      <c r="G6" s="71" t="s">
        <v>259</v>
      </c>
      <c r="H6" s="71" t="s">
        <v>217</v>
      </c>
      <c r="I6" s="5" t="s">
        <v>514</v>
      </c>
      <c r="J6" s="55" t="s">
        <v>42</v>
      </c>
      <c r="K6" s="284" t="s">
        <v>251</v>
      </c>
      <c r="M6" s="3"/>
      <c r="O6" s="52" t="s">
        <v>339</v>
      </c>
    </row>
    <row r="7" spans="1:15" ht="13.5" thickBot="1">
      <c r="A7" s="342" t="s">
        <v>234</v>
      </c>
      <c r="B7" s="276" t="s">
        <v>33</v>
      </c>
      <c r="C7" s="54" t="s">
        <v>41</v>
      </c>
      <c r="D7" s="56" t="s">
        <v>42</v>
      </c>
      <c r="E7" s="72" t="s">
        <v>237</v>
      </c>
      <c r="F7" s="25" t="s">
        <v>34</v>
      </c>
      <c r="G7" s="72" t="s">
        <v>219</v>
      </c>
      <c r="H7" s="72" t="s">
        <v>219</v>
      </c>
      <c r="I7" s="6" t="s">
        <v>41</v>
      </c>
      <c r="J7" s="57" t="s">
        <v>81</v>
      </c>
      <c r="K7" s="285" t="s">
        <v>252</v>
      </c>
      <c r="M7" s="3"/>
      <c r="O7" s="19" t="s">
        <v>340</v>
      </c>
    </row>
    <row r="8" spans="1:22" ht="12.75">
      <c r="A8" s="343" t="s">
        <v>80</v>
      </c>
      <c r="B8" s="395" t="s">
        <v>11</v>
      </c>
      <c r="C8" s="222">
        <v>7510</v>
      </c>
      <c r="D8" s="223">
        <f>E8*15*2</f>
        <v>5760</v>
      </c>
      <c r="E8" s="220">
        <v>192</v>
      </c>
      <c r="F8" s="238">
        <f>G8+H8</f>
        <v>1960</v>
      </c>
      <c r="G8" s="220">
        <f>'Notes-4yr'!C7</f>
        <v>870</v>
      </c>
      <c r="H8" s="220">
        <f>'Notes-4yr'!C15</f>
        <v>1090</v>
      </c>
      <c r="I8" s="220">
        <f aca="true" t="shared" si="0" ref="I8:I27">D8+F8</f>
        <v>7720</v>
      </c>
      <c r="J8" s="58" t="s">
        <v>127</v>
      </c>
      <c r="K8" s="286">
        <f>((I8-C8)/C8)</f>
        <v>0.02796271637816245</v>
      </c>
      <c r="L8" s="16">
        <f>I8/2</f>
        <v>3860</v>
      </c>
      <c r="O8" s="252">
        <f>I8/30</f>
        <v>257.3333333333333</v>
      </c>
      <c r="P8" s="16">
        <f>(E8+E14+E19+E23+E27+E47+E49+E59+E86+E90)/10</f>
        <v>186.869</v>
      </c>
      <c r="Q8" s="16" t="s">
        <v>371</v>
      </c>
      <c r="S8" s="205"/>
      <c r="U8" s="205"/>
      <c r="V8" s="306"/>
    </row>
    <row r="9" spans="1:19" ht="12.75">
      <c r="A9" s="344"/>
      <c r="B9" s="395" t="s">
        <v>509</v>
      </c>
      <c r="C9" s="222">
        <v>16540</v>
      </c>
      <c r="D9" s="223">
        <f>E9*15*2</f>
        <v>15030</v>
      </c>
      <c r="E9" s="220">
        <v>501</v>
      </c>
      <c r="F9" s="238">
        <f aca="true" t="shared" si="1" ref="F9:F93">G9+H9</f>
        <v>1960</v>
      </c>
      <c r="G9" s="220">
        <f>'Notes-4yr'!C7</f>
        <v>870</v>
      </c>
      <c r="H9" s="220">
        <f>'Notes-4yr'!C15</f>
        <v>1090</v>
      </c>
      <c r="I9" s="220">
        <f t="shared" si="0"/>
        <v>16990</v>
      </c>
      <c r="J9" s="58" t="s">
        <v>127</v>
      </c>
      <c r="K9" s="286">
        <f aca="true" t="shared" si="2" ref="K9:K93">((I9-C9)/C9)</f>
        <v>0.02720677146311971</v>
      </c>
      <c r="L9" s="16">
        <f aca="true" t="shared" si="3" ref="L9:L93">I9/2</f>
        <v>8495</v>
      </c>
      <c r="O9" s="206">
        <f>I9/30</f>
        <v>566.3333333333334</v>
      </c>
      <c r="P9" s="16">
        <f>(E11+E17+E21+E25+E29+E51+E61+E87+E91)/9</f>
        <v>298.0877777777778</v>
      </c>
      <c r="Q9" s="1" t="s">
        <v>372</v>
      </c>
      <c r="S9" s="205"/>
    </row>
    <row r="10" spans="1:19" ht="12.75">
      <c r="A10" s="344"/>
      <c r="B10" s="395" t="s">
        <v>508</v>
      </c>
      <c r="C10" s="222">
        <v>13120</v>
      </c>
      <c r="D10" s="223">
        <f>E10*15*2</f>
        <v>11520</v>
      </c>
      <c r="E10" s="220">
        <v>384</v>
      </c>
      <c r="F10" s="238">
        <f t="shared" si="1"/>
        <v>1960</v>
      </c>
      <c r="G10" s="220">
        <f>'Notes-4yr'!C7</f>
        <v>870</v>
      </c>
      <c r="H10" s="220">
        <f>'Notes-4yr'!C15</f>
        <v>1090</v>
      </c>
      <c r="I10" s="220">
        <f t="shared" si="0"/>
        <v>13480</v>
      </c>
      <c r="J10" s="58" t="s">
        <v>127</v>
      </c>
      <c r="K10" s="286">
        <f t="shared" si="2"/>
        <v>0.027439024390243903</v>
      </c>
      <c r="O10" s="206">
        <f>I10/30</f>
        <v>449.3333333333333</v>
      </c>
      <c r="P10" s="16"/>
      <c r="S10" s="205"/>
    </row>
    <row r="11" spans="1:19" ht="12.75">
      <c r="A11" s="344"/>
      <c r="B11" s="395" t="s">
        <v>36</v>
      </c>
      <c r="C11" s="222">
        <v>7246</v>
      </c>
      <c r="D11" s="223">
        <f>E11*12*2</f>
        <v>5856</v>
      </c>
      <c r="E11" s="220">
        <v>244</v>
      </c>
      <c r="F11" s="238">
        <f t="shared" si="1"/>
        <v>1582</v>
      </c>
      <c r="G11" s="220">
        <f>'Notes-4yr'!D7</f>
        <v>708</v>
      </c>
      <c r="H11" s="220">
        <f>'Notes-4yr'!D15</f>
        <v>874</v>
      </c>
      <c r="I11" s="220">
        <f t="shared" si="0"/>
        <v>7438</v>
      </c>
      <c r="J11" s="58" t="s">
        <v>127</v>
      </c>
      <c r="K11" s="286">
        <f t="shared" si="2"/>
        <v>0.02649737786364891</v>
      </c>
      <c r="L11" s="16">
        <f t="shared" si="3"/>
        <v>3719</v>
      </c>
      <c r="M11" s="1">
        <f>I11-(E11*4)</f>
        <v>6462</v>
      </c>
      <c r="N11" s="1">
        <f>E11*20+'Notes-4yr'!$K$16</f>
        <v>5890</v>
      </c>
      <c r="O11" s="206">
        <f>I11/24</f>
        <v>309.9166666666667</v>
      </c>
      <c r="P11" s="16"/>
      <c r="S11" s="205"/>
    </row>
    <row r="12" spans="1:19" ht="12.75">
      <c r="A12" s="344"/>
      <c r="B12" s="395" t="s">
        <v>510</v>
      </c>
      <c r="C12" s="222">
        <v>16054</v>
      </c>
      <c r="D12" s="223">
        <f>E12*12*2</f>
        <v>14904</v>
      </c>
      <c r="E12" s="220">
        <v>621</v>
      </c>
      <c r="F12" s="238">
        <f t="shared" si="1"/>
        <v>1582</v>
      </c>
      <c r="G12" s="220">
        <f>'Notes-4yr'!D7</f>
        <v>708</v>
      </c>
      <c r="H12" s="220">
        <f>'Notes-4yr'!D15</f>
        <v>874</v>
      </c>
      <c r="I12" s="220">
        <f t="shared" si="0"/>
        <v>16486</v>
      </c>
      <c r="J12" s="58" t="s">
        <v>127</v>
      </c>
      <c r="K12" s="286">
        <f t="shared" si="2"/>
        <v>0.026909181512395665</v>
      </c>
      <c r="O12" s="206">
        <f>I12/24</f>
        <v>686.9166666666666</v>
      </c>
      <c r="P12" s="16"/>
      <c r="S12" s="205"/>
    </row>
    <row r="13" spans="1:19" ht="12.75">
      <c r="A13" s="345"/>
      <c r="B13" s="396" t="s">
        <v>511</v>
      </c>
      <c r="C13" s="224">
        <v>12958</v>
      </c>
      <c r="D13" s="225">
        <f>E13*12*2</f>
        <v>11712</v>
      </c>
      <c r="E13" s="221">
        <v>488</v>
      </c>
      <c r="F13" s="239">
        <f t="shared" si="1"/>
        <v>1582</v>
      </c>
      <c r="G13" s="221">
        <f>'Notes-4yr'!D7</f>
        <v>708</v>
      </c>
      <c r="H13" s="221">
        <f>'Notes-4yr'!D15</f>
        <v>874</v>
      </c>
      <c r="I13" s="221">
        <f t="shared" si="0"/>
        <v>13294</v>
      </c>
      <c r="J13" s="59" t="s">
        <v>127</v>
      </c>
      <c r="K13" s="287">
        <f t="shared" si="2"/>
        <v>0.02592992745794104</v>
      </c>
      <c r="L13" s="16">
        <f t="shared" si="3"/>
        <v>6647</v>
      </c>
      <c r="M13" s="1">
        <f>I13-(E13*4)</f>
        <v>11342</v>
      </c>
      <c r="N13" s="1">
        <f>E13*20+'Notes-4yr'!$K$16</f>
        <v>10770</v>
      </c>
      <c r="O13" s="207">
        <f>I13/24</f>
        <v>553.9166666666666</v>
      </c>
      <c r="P13" s="16"/>
      <c r="S13" s="205"/>
    </row>
    <row r="14" spans="1:22" ht="12.75">
      <c r="A14" s="343" t="s">
        <v>498</v>
      </c>
      <c r="B14" s="395" t="s">
        <v>11</v>
      </c>
      <c r="C14" s="222">
        <v>6918</v>
      </c>
      <c r="D14" s="223">
        <f>E14*15*2</f>
        <v>6270</v>
      </c>
      <c r="E14" s="353">
        <v>209</v>
      </c>
      <c r="F14" s="238">
        <f t="shared" si="1"/>
        <v>978</v>
      </c>
      <c r="G14" s="220">
        <f>'Notes-4yr'!C23</f>
        <v>90</v>
      </c>
      <c r="H14" s="220">
        <f>'Notes-4yr'!C32</f>
        <v>888</v>
      </c>
      <c r="I14" s="220">
        <f t="shared" si="0"/>
        <v>7248</v>
      </c>
      <c r="J14" s="58" t="s">
        <v>127</v>
      </c>
      <c r="K14" s="286">
        <f t="shared" si="2"/>
        <v>0.047701647875108416</v>
      </c>
      <c r="L14" s="16">
        <f t="shared" si="3"/>
        <v>3624</v>
      </c>
      <c r="O14" s="206">
        <f>I14/30</f>
        <v>241.6</v>
      </c>
      <c r="P14" s="16"/>
      <c r="S14" s="205"/>
      <c r="U14" s="205"/>
      <c r="V14" s="306"/>
    </row>
    <row r="15" spans="1:19" ht="12.75">
      <c r="A15" s="346"/>
      <c r="B15" s="395" t="s">
        <v>367</v>
      </c>
      <c r="C15" s="222">
        <v>3750</v>
      </c>
      <c r="D15" s="223">
        <f>E15*15*2</f>
        <v>3090</v>
      </c>
      <c r="E15" s="220">
        <v>103</v>
      </c>
      <c r="F15" s="238">
        <f t="shared" si="1"/>
        <v>1140</v>
      </c>
      <c r="G15" s="220">
        <v>0</v>
      </c>
      <c r="H15" s="220">
        <f>'Notes-4yr'!G32</f>
        <v>1140</v>
      </c>
      <c r="I15" s="220">
        <f t="shared" si="0"/>
        <v>4230</v>
      </c>
      <c r="J15" s="58" t="s">
        <v>127</v>
      </c>
      <c r="K15" s="286">
        <f t="shared" si="2"/>
        <v>0.128</v>
      </c>
      <c r="L15" s="16">
        <f t="shared" si="3"/>
        <v>2115</v>
      </c>
      <c r="O15" s="206">
        <f>I15/30</f>
        <v>141</v>
      </c>
      <c r="P15" s="16"/>
      <c r="S15" s="205"/>
    </row>
    <row r="16" spans="1:19" ht="12.75">
      <c r="A16" s="344"/>
      <c r="B16" s="395" t="s">
        <v>73</v>
      </c>
      <c r="C16" s="222">
        <v>12888</v>
      </c>
      <c r="D16" s="223">
        <f>E16*15*2</f>
        <v>12540</v>
      </c>
      <c r="E16" s="353">
        <v>418</v>
      </c>
      <c r="F16" s="238">
        <f t="shared" si="1"/>
        <v>978</v>
      </c>
      <c r="G16" s="220">
        <f>'Notes-4yr'!C23</f>
        <v>90</v>
      </c>
      <c r="H16" s="220">
        <f>'Notes-4yr'!C32</f>
        <v>888</v>
      </c>
      <c r="I16" s="220">
        <f t="shared" si="0"/>
        <v>13518</v>
      </c>
      <c r="J16" s="58" t="s">
        <v>127</v>
      </c>
      <c r="K16" s="286">
        <f t="shared" si="2"/>
        <v>0.04888268156424581</v>
      </c>
      <c r="L16" s="16">
        <f t="shared" si="3"/>
        <v>6759</v>
      </c>
      <c r="O16" s="206">
        <f>I16/30</f>
        <v>450.6</v>
      </c>
      <c r="P16" s="16"/>
      <c r="S16" s="205"/>
    </row>
    <row r="17" spans="1:19" ht="12.75">
      <c r="A17" s="344"/>
      <c r="B17" s="395" t="s">
        <v>36</v>
      </c>
      <c r="C17" s="222">
        <v>6798</v>
      </c>
      <c r="D17" s="223">
        <f>E17*12*2</f>
        <v>6264</v>
      </c>
      <c r="E17" s="220">
        <v>261</v>
      </c>
      <c r="F17" s="238">
        <f t="shared" si="1"/>
        <v>846</v>
      </c>
      <c r="G17" s="220">
        <f>'Notes-4yr'!D23</f>
        <v>72</v>
      </c>
      <c r="H17" s="220">
        <f>'Notes-4yr'!D32</f>
        <v>774</v>
      </c>
      <c r="I17" s="220">
        <f t="shared" si="0"/>
        <v>7110</v>
      </c>
      <c r="J17" s="58" t="s">
        <v>127</v>
      </c>
      <c r="K17" s="286">
        <f t="shared" si="2"/>
        <v>0.04589585172109444</v>
      </c>
      <c r="L17" s="16">
        <f t="shared" si="3"/>
        <v>3555</v>
      </c>
      <c r="M17" s="1">
        <f>I17-(E17*4)</f>
        <v>6066</v>
      </c>
      <c r="N17" s="1">
        <f>(E17*20)+'Notes-4yr'!$K$29</f>
        <v>5630</v>
      </c>
      <c r="O17" s="206">
        <f>I17/24</f>
        <v>296.25</v>
      </c>
      <c r="P17" s="16"/>
      <c r="S17" s="205"/>
    </row>
    <row r="18" spans="1:19" ht="12.75">
      <c r="A18" s="345"/>
      <c r="B18" s="396" t="s">
        <v>39</v>
      </c>
      <c r="C18" s="224">
        <v>12774</v>
      </c>
      <c r="D18" s="225">
        <f>E18*12*2</f>
        <v>12528</v>
      </c>
      <c r="E18" s="221">
        <v>522</v>
      </c>
      <c r="F18" s="239">
        <f t="shared" si="1"/>
        <v>846</v>
      </c>
      <c r="G18" s="221">
        <f>'Notes-4yr'!D23</f>
        <v>72</v>
      </c>
      <c r="H18" s="221">
        <f>'Notes-4yr'!D32</f>
        <v>774</v>
      </c>
      <c r="I18" s="221">
        <f t="shared" si="0"/>
        <v>13374</v>
      </c>
      <c r="J18" s="59" t="s">
        <v>127</v>
      </c>
      <c r="K18" s="287">
        <f t="shared" si="2"/>
        <v>0.04697040864255519</v>
      </c>
      <c r="L18" s="16">
        <f t="shared" si="3"/>
        <v>6687</v>
      </c>
      <c r="M18" s="1">
        <f>I18-(E18*4)</f>
        <v>11286</v>
      </c>
      <c r="N18" s="1">
        <f>(E18*20)+'Notes-4yr'!$K$29</f>
        <v>10850</v>
      </c>
      <c r="O18" s="207">
        <f>I18/24</f>
        <v>557.25</v>
      </c>
      <c r="P18" s="16"/>
      <c r="S18" s="205"/>
    </row>
    <row r="19" spans="1:22" ht="13.5">
      <c r="A19" s="343" t="s">
        <v>399</v>
      </c>
      <c r="B19" s="395" t="s">
        <v>11</v>
      </c>
      <c r="C19" s="222">
        <v>7283.5</v>
      </c>
      <c r="D19" s="223">
        <f>E19*15*2</f>
        <v>5970</v>
      </c>
      <c r="E19" s="220">
        <v>199</v>
      </c>
      <c r="F19" s="238">
        <f t="shared" si="1"/>
        <v>1591</v>
      </c>
      <c r="G19" s="220">
        <f>'Notes-4yr'!C44</f>
        <v>1043.5</v>
      </c>
      <c r="H19" s="220">
        <f>'Notes-4yr'!C51</f>
        <v>547.5</v>
      </c>
      <c r="I19" s="220">
        <f t="shared" si="0"/>
        <v>7561</v>
      </c>
      <c r="J19" s="58" t="s">
        <v>127</v>
      </c>
      <c r="K19" s="286">
        <f t="shared" si="2"/>
        <v>0.038099814649550354</v>
      </c>
      <c r="L19" s="16">
        <f t="shared" si="3"/>
        <v>3780.5</v>
      </c>
      <c r="O19" s="206">
        <f>I19/30</f>
        <v>252.03333333333333</v>
      </c>
      <c r="P19" s="16"/>
      <c r="S19" s="205"/>
      <c r="U19" s="205"/>
      <c r="V19" s="306"/>
    </row>
    <row r="20" spans="1:21" ht="12.75">
      <c r="A20" s="344"/>
      <c r="B20" s="395" t="s">
        <v>38</v>
      </c>
      <c r="C20" s="222">
        <v>13403.5</v>
      </c>
      <c r="D20" s="223">
        <f>E20*15*2</f>
        <v>12330</v>
      </c>
      <c r="E20" s="220">
        <v>411</v>
      </c>
      <c r="F20" s="238">
        <f t="shared" si="1"/>
        <v>1591</v>
      </c>
      <c r="G20" s="220">
        <f>'Notes-4yr'!C44</f>
        <v>1043.5</v>
      </c>
      <c r="H20" s="220">
        <f>'Notes-4yr'!C51</f>
        <v>547.5</v>
      </c>
      <c r="I20" s="220">
        <f t="shared" si="0"/>
        <v>13921</v>
      </c>
      <c r="J20" s="58" t="s">
        <v>127</v>
      </c>
      <c r="K20" s="286">
        <f t="shared" si="2"/>
        <v>0.03860931846159585</v>
      </c>
      <c r="L20" s="16">
        <f t="shared" si="3"/>
        <v>6960.5</v>
      </c>
      <c r="O20" s="206">
        <f>I20/30</f>
        <v>464.03333333333336</v>
      </c>
      <c r="P20" s="16"/>
      <c r="S20" s="205"/>
      <c r="U20" s="205"/>
    </row>
    <row r="21" spans="1:19" ht="12.75">
      <c r="A21" s="344"/>
      <c r="B21" s="395" t="s">
        <v>36</v>
      </c>
      <c r="C21" s="222">
        <v>7075</v>
      </c>
      <c r="D21" s="223">
        <f>E21*12*2</f>
        <v>5904</v>
      </c>
      <c r="E21" s="220">
        <v>246</v>
      </c>
      <c r="F21" s="238">
        <f t="shared" si="1"/>
        <v>1393</v>
      </c>
      <c r="G21" s="220">
        <f>'Notes-4yr'!D44</f>
        <v>934</v>
      </c>
      <c r="H21" s="220">
        <f>'Notes-4yr'!D51</f>
        <v>459</v>
      </c>
      <c r="I21" s="220">
        <f t="shared" si="0"/>
        <v>7297</v>
      </c>
      <c r="J21" s="58" t="s">
        <v>127</v>
      </c>
      <c r="K21" s="286">
        <f t="shared" si="2"/>
        <v>0.031378091872791516</v>
      </c>
      <c r="L21" s="16">
        <f t="shared" si="3"/>
        <v>3648.5</v>
      </c>
      <c r="O21" s="206">
        <f>I21/24</f>
        <v>304.0416666666667</v>
      </c>
      <c r="P21" s="16"/>
      <c r="S21" s="205"/>
    </row>
    <row r="22" spans="1:21" ht="12.75">
      <c r="A22" s="345"/>
      <c r="B22" s="396" t="s">
        <v>39</v>
      </c>
      <c r="C22" s="224">
        <v>13099</v>
      </c>
      <c r="D22" s="225">
        <f>E22*12*2</f>
        <v>12120</v>
      </c>
      <c r="E22" s="221">
        <v>505</v>
      </c>
      <c r="F22" s="239">
        <f t="shared" si="1"/>
        <v>1393</v>
      </c>
      <c r="G22" s="221">
        <f>'Notes-4yr'!D44</f>
        <v>934</v>
      </c>
      <c r="H22" s="221">
        <f>'Notes-4yr'!D51</f>
        <v>459</v>
      </c>
      <c r="I22" s="221">
        <f t="shared" si="0"/>
        <v>13513</v>
      </c>
      <c r="J22" s="59" t="s">
        <v>127</v>
      </c>
      <c r="K22" s="287">
        <f t="shared" si="2"/>
        <v>0.03160546606611192</v>
      </c>
      <c r="L22" s="16">
        <f t="shared" si="3"/>
        <v>6756.5</v>
      </c>
      <c r="O22" s="207">
        <f>I22/24</f>
        <v>563.0416666666666</v>
      </c>
      <c r="P22" s="16"/>
      <c r="S22" s="205"/>
      <c r="U22" s="205"/>
    </row>
    <row r="23" spans="1:22" ht="12.75">
      <c r="A23" s="343" t="s">
        <v>499</v>
      </c>
      <c r="B23" s="395" t="s">
        <v>11</v>
      </c>
      <c r="C23" s="222">
        <v>7386</v>
      </c>
      <c r="D23" s="223">
        <f>E23*15*2</f>
        <v>6300</v>
      </c>
      <c r="E23" s="220">
        <v>210</v>
      </c>
      <c r="F23" s="238">
        <f>G23+H23</f>
        <v>1356</v>
      </c>
      <c r="G23" s="220">
        <f>'Notes-4yr'!C61</f>
        <v>210</v>
      </c>
      <c r="H23" s="220">
        <f>'Notes-4yr'!C70</f>
        <v>1146</v>
      </c>
      <c r="I23" s="220">
        <f t="shared" si="0"/>
        <v>7656</v>
      </c>
      <c r="J23" s="58" t="s">
        <v>127</v>
      </c>
      <c r="K23" s="286">
        <f t="shared" si="2"/>
        <v>0.036555645816409424</v>
      </c>
      <c r="L23" s="16">
        <f t="shared" si="3"/>
        <v>3828</v>
      </c>
      <c r="O23" s="206">
        <f>I23/30</f>
        <v>255.2</v>
      </c>
      <c r="P23" s="16"/>
      <c r="S23" s="205"/>
      <c r="T23" s="205"/>
      <c r="U23" s="205"/>
      <c r="V23" s="306"/>
    </row>
    <row r="24" spans="1:20" ht="12.75">
      <c r="A24" s="344"/>
      <c r="B24" s="395" t="s">
        <v>38</v>
      </c>
      <c r="C24" s="222">
        <v>10536</v>
      </c>
      <c r="D24" s="223">
        <f>E24*15*2</f>
        <v>9750</v>
      </c>
      <c r="E24" s="220">
        <v>325</v>
      </c>
      <c r="F24" s="238">
        <f>G24+H24</f>
        <v>1356</v>
      </c>
      <c r="G24" s="220">
        <f>'Notes-4yr'!C61</f>
        <v>210</v>
      </c>
      <c r="H24" s="220">
        <f>'Notes-4yr'!C70</f>
        <v>1146</v>
      </c>
      <c r="I24" s="220">
        <f t="shared" si="0"/>
        <v>11106</v>
      </c>
      <c r="J24" s="58" t="s">
        <v>127</v>
      </c>
      <c r="K24" s="286">
        <f t="shared" si="2"/>
        <v>0.0541002277904328</v>
      </c>
      <c r="L24" s="16">
        <f t="shared" si="3"/>
        <v>5553</v>
      </c>
      <c r="O24" s="206">
        <f>I24/30</f>
        <v>370.2</v>
      </c>
      <c r="P24" s="16"/>
      <c r="S24" s="205"/>
      <c r="T24" s="205"/>
    </row>
    <row r="25" spans="1:20" ht="12.75">
      <c r="A25" s="344"/>
      <c r="B25" s="395" t="s">
        <v>36</v>
      </c>
      <c r="C25" s="222">
        <v>7106</v>
      </c>
      <c r="D25" s="223">
        <f>E25*12*2</f>
        <v>6288</v>
      </c>
      <c r="E25" s="220">
        <v>262</v>
      </c>
      <c r="F25" s="238">
        <f>G25+H25</f>
        <v>1082</v>
      </c>
      <c r="G25" s="220">
        <f>'Notes-4yr'!D61</f>
        <v>168</v>
      </c>
      <c r="H25" s="220">
        <f>'Notes-4yr'!D70</f>
        <v>914</v>
      </c>
      <c r="I25" s="220">
        <f t="shared" si="0"/>
        <v>7370</v>
      </c>
      <c r="J25" s="58" t="s">
        <v>127</v>
      </c>
      <c r="K25" s="286">
        <f t="shared" si="2"/>
        <v>0.03715170278637771</v>
      </c>
      <c r="L25" s="16">
        <f t="shared" si="3"/>
        <v>3685</v>
      </c>
      <c r="O25" s="206">
        <f>I25/24</f>
        <v>307.0833333333333</v>
      </c>
      <c r="P25" s="16"/>
      <c r="S25" s="205"/>
      <c r="T25" s="205"/>
    </row>
    <row r="26" spans="1:20" ht="12.75">
      <c r="A26" s="345"/>
      <c r="B26" s="396" t="s">
        <v>39</v>
      </c>
      <c r="C26" s="224">
        <v>9890</v>
      </c>
      <c r="D26" s="225">
        <f>E26*12*2</f>
        <v>9360</v>
      </c>
      <c r="E26" s="221">
        <v>390</v>
      </c>
      <c r="F26" s="239">
        <f>G26+H26</f>
        <v>1082</v>
      </c>
      <c r="G26" s="221">
        <f>'Notes-4yr'!D61</f>
        <v>168</v>
      </c>
      <c r="H26" s="221">
        <f>'Notes-4yr'!D70</f>
        <v>914</v>
      </c>
      <c r="I26" s="221">
        <f t="shared" si="0"/>
        <v>10442</v>
      </c>
      <c r="J26" s="59" t="s">
        <v>127</v>
      </c>
      <c r="K26" s="287">
        <f t="shared" si="2"/>
        <v>0.05581395348837209</v>
      </c>
      <c r="L26" s="16">
        <f t="shared" si="3"/>
        <v>5221</v>
      </c>
      <c r="O26" s="207">
        <f>I26/24</f>
        <v>435.0833333333333</v>
      </c>
      <c r="P26" s="16"/>
      <c r="S26" s="205"/>
      <c r="T26" s="205"/>
    </row>
    <row r="27" spans="1:22" ht="13.5">
      <c r="A27" s="343" t="s">
        <v>461</v>
      </c>
      <c r="B27" s="395" t="s">
        <v>11</v>
      </c>
      <c r="C27" s="222">
        <v>7817.700000000001</v>
      </c>
      <c r="D27" s="223">
        <f>E27*15*2</f>
        <v>6823.2</v>
      </c>
      <c r="E27" s="238">
        <v>227.44</v>
      </c>
      <c r="F27" s="238">
        <f t="shared" si="1"/>
        <v>1385.1</v>
      </c>
      <c r="G27" s="220">
        <f>'Notes-4yr'!$D$91</f>
        <v>396.9</v>
      </c>
      <c r="H27" s="220">
        <f>'Notes-4yr'!$D$90</f>
        <v>988.2</v>
      </c>
      <c r="I27" s="220">
        <f t="shared" si="0"/>
        <v>8208.3</v>
      </c>
      <c r="J27" s="58" t="s">
        <v>127</v>
      </c>
      <c r="K27" s="286">
        <f t="shared" si="2"/>
        <v>0.049963544264937064</v>
      </c>
      <c r="L27" s="16">
        <f t="shared" si="3"/>
        <v>4104.15</v>
      </c>
      <c r="O27" s="206">
        <f>I27/30</f>
        <v>273.60999999999996</v>
      </c>
      <c r="P27" s="16"/>
      <c r="S27" s="205"/>
      <c r="U27" s="205"/>
      <c r="V27" s="306"/>
    </row>
    <row r="28" spans="1:19" ht="12.75">
      <c r="A28" s="344"/>
      <c r="B28" s="395" t="s">
        <v>38</v>
      </c>
      <c r="C28" s="222">
        <v>19074.899999999998</v>
      </c>
      <c r="D28" s="223">
        <f>E28*15*2</f>
        <v>18913.5</v>
      </c>
      <c r="E28" s="238">
        <v>630.45</v>
      </c>
      <c r="F28" s="238">
        <f t="shared" si="1"/>
        <v>1385.1</v>
      </c>
      <c r="G28" s="220">
        <f>'Notes-4yr'!$D$91</f>
        <v>396.9</v>
      </c>
      <c r="H28" s="220">
        <f>'Notes-4yr'!$D$90</f>
        <v>988.2</v>
      </c>
      <c r="I28" s="220">
        <f aca="true" t="shared" si="4" ref="I28:I45">D28+F28</f>
        <v>20298.6</v>
      </c>
      <c r="J28" s="58" t="s">
        <v>127</v>
      </c>
      <c r="K28" s="286">
        <f t="shared" si="2"/>
        <v>0.06415236777125966</v>
      </c>
      <c r="L28" s="16">
        <f t="shared" si="3"/>
        <v>10149.3</v>
      </c>
      <c r="O28" s="206">
        <f>I28/30</f>
        <v>676.62</v>
      </c>
      <c r="P28" s="16"/>
      <c r="S28" s="205"/>
    </row>
    <row r="29" spans="1:19" ht="12.75">
      <c r="A29" s="344"/>
      <c r="B29" s="395" t="s">
        <v>36</v>
      </c>
      <c r="C29" s="222">
        <v>9829.68</v>
      </c>
      <c r="D29" s="223">
        <f>E29*12*2</f>
        <v>9318.960000000001</v>
      </c>
      <c r="E29" s="238">
        <v>388.29</v>
      </c>
      <c r="F29" s="238">
        <f t="shared" si="1"/>
        <v>1109.28</v>
      </c>
      <c r="G29" s="220">
        <f>'Notes-4yr'!$E$91</f>
        <v>317.52</v>
      </c>
      <c r="H29" s="220">
        <f>'Notes-4yr'!$E$90</f>
        <v>791.76</v>
      </c>
      <c r="I29" s="220">
        <f t="shared" si="4"/>
        <v>10428.240000000002</v>
      </c>
      <c r="J29" s="58" t="s">
        <v>127</v>
      </c>
      <c r="K29" s="286">
        <f t="shared" si="2"/>
        <v>0.06089313182117844</v>
      </c>
      <c r="L29" s="16">
        <f t="shared" si="3"/>
        <v>5214.120000000001</v>
      </c>
      <c r="M29" s="1">
        <f>I29-(E29*4)</f>
        <v>8875.080000000002</v>
      </c>
      <c r="N29" s="1">
        <f>E29*20+'Notes-4yr'!$N$85</f>
        <v>8690.2</v>
      </c>
      <c r="O29" s="206">
        <f>I29/24</f>
        <v>434.51000000000005</v>
      </c>
      <c r="P29" s="16"/>
      <c r="S29" s="205"/>
    </row>
    <row r="30" spans="1:19" ht="12.75">
      <c r="A30" s="344"/>
      <c r="B30" s="395" t="s">
        <v>39</v>
      </c>
      <c r="C30" s="222">
        <v>21680.4</v>
      </c>
      <c r="D30" s="223">
        <f>E30*12*2</f>
        <v>22046.64</v>
      </c>
      <c r="E30" s="238">
        <v>918.61</v>
      </c>
      <c r="F30" s="238">
        <f t="shared" si="1"/>
        <v>1109.28</v>
      </c>
      <c r="G30" s="220">
        <f>'Notes-4yr'!$E$91</f>
        <v>317.52</v>
      </c>
      <c r="H30" s="220">
        <f>'Notes-4yr'!$E$90</f>
        <v>791.76</v>
      </c>
      <c r="I30" s="220">
        <f t="shared" si="4"/>
        <v>23155.92</v>
      </c>
      <c r="J30" s="58" t="s">
        <v>127</v>
      </c>
      <c r="K30" s="286">
        <f t="shared" si="2"/>
        <v>0.06805778491171735</v>
      </c>
      <c r="L30" s="16">
        <f t="shared" si="3"/>
        <v>11577.96</v>
      </c>
      <c r="M30" s="1">
        <f>I30-(E30*4)</f>
        <v>19481.48</v>
      </c>
      <c r="N30" s="1">
        <f>E30*20+'Notes-4yr'!$N$85</f>
        <v>19296.600000000002</v>
      </c>
      <c r="O30" s="206">
        <f>I30/24</f>
        <v>964.8299999999999</v>
      </c>
      <c r="P30" s="16"/>
      <c r="S30" s="205"/>
    </row>
    <row r="31" spans="1:19" ht="12.75">
      <c r="A31" s="344"/>
      <c r="B31" s="395" t="s">
        <v>500</v>
      </c>
      <c r="C31" s="222">
        <v>8961.3</v>
      </c>
      <c r="D31" s="223">
        <f>E31*15*2</f>
        <v>8224.5</v>
      </c>
      <c r="E31" s="238">
        <v>274.15</v>
      </c>
      <c r="F31" s="238">
        <f t="shared" si="1"/>
        <v>1385.1</v>
      </c>
      <c r="G31" s="220">
        <f>'Notes-4yr'!$D$91</f>
        <v>396.9</v>
      </c>
      <c r="H31" s="220">
        <f>'Notes-4yr'!$D$90</f>
        <v>988.2</v>
      </c>
      <c r="I31" s="220">
        <f t="shared" si="4"/>
        <v>9609.6</v>
      </c>
      <c r="J31" s="58" t="s">
        <v>127</v>
      </c>
      <c r="K31" s="286">
        <f t="shared" si="2"/>
        <v>0.07234441431488747</v>
      </c>
      <c r="L31" s="16">
        <f aca="true" t="shared" si="5" ref="L31:L36">I31/2</f>
        <v>4804.8</v>
      </c>
      <c r="O31" s="206">
        <f>I31/30</f>
        <v>320.32</v>
      </c>
      <c r="P31" s="16"/>
      <c r="S31" s="205"/>
    </row>
    <row r="32" spans="1:19" ht="12.75">
      <c r="A32" s="344"/>
      <c r="B32" s="395" t="s">
        <v>501</v>
      </c>
      <c r="C32" s="222">
        <v>22244.699999999997</v>
      </c>
      <c r="D32" s="223">
        <f>E32*15*2</f>
        <v>22798.2</v>
      </c>
      <c r="E32" s="238">
        <v>759.94</v>
      </c>
      <c r="F32" s="238">
        <f t="shared" si="1"/>
        <v>1385.1</v>
      </c>
      <c r="G32" s="220">
        <f>'Notes-4yr'!$D$91</f>
        <v>396.9</v>
      </c>
      <c r="H32" s="220">
        <f>'Notes-4yr'!$D$90</f>
        <v>988.2</v>
      </c>
      <c r="I32" s="220">
        <f t="shared" si="4"/>
        <v>24183.3</v>
      </c>
      <c r="J32" s="58" t="s">
        <v>127</v>
      </c>
      <c r="K32" s="286">
        <f t="shared" si="2"/>
        <v>0.08714884893929802</v>
      </c>
      <c r="L32" s="16">
        <f t="shared" si="5"/>
        <v>12091.65</v>
      </c>
      <c r="O32" s="206">
        <f>I32/30</f>
        <v>806.11</v>
      </c>
      <c r="P32" s="16"/>
      <c r="S32" s="205"/>
    </row>
    <row r="33" spans="1:19" ht="12.75">
      <c r="A33" s="344"/>
      <c r="B33" s="395" t="s">
        <v>502</v>
      </c>
      <c r="C33" s="222">
        <v>12432.72</v>
      </c>
      <c r="D33" s="223">
        <f aca="true" t="shared" si="6" ref="D33:D46">E33*12*2</f>
        <v>12198.72</v>
      </c>
      <c r="E33" s="220">
        <v>508.28</v>
      </c>
      <c r="F33" s="238">
        <f t="shared" si="1"/>
        <v>1109.28</v>
      </c>
      <c r="G33" s="220">
        <f>'Notes-4yr'!$E$91</f>
        <v>317.52</v>
      </c>
      <c r="H33" s="220">
        <f>'Notes-4yr'!$E$90</f>
        <v>791.76</v>
      </c>
      <c r="I33" s="220">
        <f t="shared" si="4"/>
        <v>13308</v>
      </c>
      <c r="J33" s="58" t="s">
        <v>127</v>
      </c>
      <c r="K33" s="286">
        <f t="shared" si="2"/>
        <v>0.07040132810841077</v>
      </c>
      <c r="L33" s="16">
        <f t="shared" si="5"/>
        <v>6654</v>
      </c>
      <c r="O33" s="206">
        <f>I33/24</f>
        <v>554.5</v>
      </c>
      <c r="P33" s="16"/>
      <c r="S33" s="205"/>
    </row>
    <row r="34" spans="1:19" ht="12.75">
      <c r="A34" s="344"/>
      <c r="B34" s="395" t="s">
        <v>503</v>
      </c>
      <c r="C34" s="222">
        <v>27838.800000000003</v>
      </c>
      <c r="D34" s="223">
        <f t="shared" si="6"/>
        <v>28859.04</v>
      </c>
      <c r="E34" s="238">
        <v>1202.46</v>
      </c>
      <c r="F34" s="238">
        <f t="shared" si="1"/>
        <v>1109.28</v>
      </c>
      <c r="G34" s="220">
        <f>'Notes-4yr'!$E$91</f>
        <v>317.52</v>
      </c>
      <c r="H34" s="220">
        <f>'Notes-4yr'!$E$90</f>
        <v>791.76</v>
      </c>
      <c r="I34" s="220">
        <f t="shared" si="4"/>
        <v>29968.32</v>
      </c>
      <c r="J34" s="58" t="s">
        <v>127</v>
      </c>
      <c r="K34" s="286">
        <f t="shared" si="2"/>
        <v>0.07649467649467637</v>
      </c>
      <c r="L34" s="16">
        <f t="shared" si="5"/>
        <v>14984.16</v>
      </c>
      <c r="O34" s="206">
        <f>I34/24</f>
        <v>1248.68</v>
      </c>
      <c r="P34" s="16"/>
      <c r="S34" s="205"/>
    </row>
    <row r="35" spans="1:19" ht="12.75">
      <c r="A35" s="344"/>
      <c r="B35" s="395" t="s">
        <v>275</v>
      </c>
      <c r="C35" s="226">
        <v>8451.3</v>
      </c>
      <c r="D35" s="223">
        <f>E35*15*2</f>
        <v>7503.6</v>
      </c>
      <c r="E35" s="238">
        <v>250.12</v>
      </c>
      <c r="F35" s="238">
        <f t="shared" si="1"/>
        <v>1385.1</v>
      </c>
      <c r="G35" s="220">
        <f>'Notes-4yr'!$D$91</f>
        <v>396.9</v>
      </c>
      <c r="H35" s="220">
        <f>'Notes-4yr'!$D$90</f>
        <v>988.2</v>
      </c>
      <c r="I35" s="220">
        <f t="shared" si="4"/>
        <v>8888.7</v>
      </c>
      <c r="J35" s="58" t="s">
        <v>127</v>
      </c>
      <c r="K35" s="286">
        <f t="shared" si="2"/>
        <v>0.05175535124773721</v>
      </c>
      <c r="L35" s="16">
        <f t="shared" si="5"/>
        <v>4444.35</v>
      </c>
      <c r="O35" s="206">
        <f>I35/30</f>
        <v>296.29</v>
      </c>
      <c r="P35" s="16"/>
      <c r="S35" s="205"/>
    </row>
    <row r="36" spans="1:19" ht="12.75">
      <c r="A36" s="344"/>
      <c r="B36" s="395" t="s">
        <v>276</v>
      </c>
      <c r="C36" s="226">
        <v>20831.7</v>
      </c>
      <c r="D36" s="223">
        <f>E36*15*2</f>
        <v>20801.1</v>
      </c>
      <c r="E36" s="238">
        <v>693.37</v>
      </c>
      <c r="F36" s="238">
        <f t="shared" si="1"/>
        <v>1385.1</v>
      </c>
      <c r="G36" s="220">
        <f>'Notes-4yr'!$D$91</f>
        <v>396.9</v>
      </c>
      <c r="H36" s="220">
        <f>'Notes-4yr'!$D$90</f>
        <v>988.2</v>
      </c>
      <c r="I36" s="220">
        <f t="shared" si="4"/>
        <v>22186.199999999997</v>
      </c>
      <c r="J36" s="58" t="s">
        <v>127</v>
      </c>
      <c r="K36" s="286">
        <f t="shared" si="2"/>
        <v>0.0650210976540559</v>
      </c>
      <c r="L36" s="16">
        <f t="shared" si="5"/>
        <v>11093.099999999999</v>
      </c>
      <c r="O36" s="206">
        <f>I36/30</f>
        <v>739.5399999999998</v>
      </c>
      <c r="P36" s="16"/>
      <c r="S36" s="205"/>
    </row>
    <row r="37" spans="1:19" ht="12.75">
      <c r="A37" s="344"/>
      <c r="B37" s="395" t="s">
        <v>377</v>
      </c>
      <c r="C37" s="222">
        <v>8974.5</v>
      </c>
      <c r="D37" s="223">
        <f>E37*15*2</f>
        <v>8065.8</v>
      </c>
      <c r="E37" s="238">
        <v>268.86</v>
      </c>
      <c r="F37" s="238">
        <f t="shared" si="1"/>
        <v>1385.1</v>
      </c>
      <c r="G37" s="220">
        <f>'Notes-4yr'!$D$91</f>
        <v>396.9</v>
      </c>
      <c r="H37" s="220">
        <f>'Notes-4yr'!$D$90</f>
        <v>988.2</v>
      </c>
      <c r="I37" s="220">
        <f t="shared" si="4"/>
        <v>9450.9</v>
      </c>
      <c r="J37" s="58" t="s">
        <v>127</v>
      </c>
      <c r="K37" s="286">
        <f t="shared" si="2"/>
        <v>0.05308373725555737</v>
      </c>
      <c r="O37" s="206">
        <f>I37/30</f>
        <v>315.03</v>
      </c>
      <c r="P37" s="16"/>
      <c r="S37" s="205"/>
    </row>
    <row r="38" spans="1:19" ht="12.75">
      <c r="A38" s="344"/>
      <c r="B38" s="395" t="s">
        <v>378</v>
      </c>
      <c r="C38" s="222">
        <v>22281.6</v>
      </c>
      <c r="D38" s="223">
        <f>E38*15*2</f>
        <v>22357.5</v>
      </c>
      <c r="E38" s="238">
        <v>745.25</v>
      </c>
      <c r="F38" s="238">
        <f t="shared" si="1"/>
        <v>1385.1</v>
      </c>
      <c r="G38" s="220">
        <f>'Notes-4yr'!$D$91</f>
        <v>396.9</v>
      </c>
      <c r="H38" s="220">
        <f>'Notes-4yr'!$D$90</f>
        <v>988.2</v>
      </c>
      <c r="I38" s="220">
        <f t="shared" si="4"/>
        <v>23742.6</v>
      </c>
      <c r="J38" s="58" t="s">
        <v>127</v>
      </c>
      <c r="K38" s="286">
        <f t="shared" si="2"/>
        <v>0.06556979750107712</v>
      </c>
      <c r="O38" s="206">
        <f>I38/30</f>
        <v>791.42</v>
      </c>
      <c r="P38" s="16"/>
      <c r="S38" s="205"/>
    </row>
    <row r="39" spans="1:19" ht="12.75">
      <c r="A39" s="344"/>
      <c r="B39" s="395" t="s">
        <v>465</v>
      </c>
      <c r="C39" s="222">
        <v>10935.119999999999</v>
      </c>
      <c r="D39" s="223">
        <f t="shared" si="6"/>
        <v>10414.08</v>
      </c>
      <c r="E39" s="238">
        <v>433.92</v>
      </c>
      <c r="F39" s="238">
        <f aca="true" t="shared" si="7" ref="F39:F44">G39+H39</f>
        <v>1192.08</v>
      </c>
      <c r="G39" s="220">
        <f>'Notes-4yr'!$F$91</f>
        <v>317.52</v>
      </c>
      <c r="H39" s="220">
        <f>'Notes-4yr'!$F$90</f>
        <v>874.56</v>
      </c>
      <c r="I39" s="220">
        <f aca="true" t="shared" si="8" ref="I39:I44">D39+F39</f>
        <v>11606.16</v>
      </c>
      <c r="J39" s="58" t="s">
        <v>127</v>
      </c>
      <c r="K39" s="286">
        <f t="shared" si="2"/>
        <v>0.06136558172201137</v>
      </c>
      <c r="O39" s="206"/>
      <c r="P39" s="16"/>
      <c r="S39" s="205"/>
    </row>
    <row r="40" spans="1:19" ht="12.75">
      <c r="A40" s="344"/>
      <c r="B40" s="395" t="s">
        <v>466</v>
      </c>
      <c r="C40" s="222">
        <v>10670.64</v>
      </c>
      <c r="D40" s="223">
        <f t="shared" si="6"/>
        <v>10414.08</v>
      </c>
      <c r="E40" s="238">
        <v>433.92</v>
      </c>
      <c r="F40" s="238">
        <f t="shared" si="7"/>
        <v>1192.08</v>
      </c>
      <c r="G40" s="220">
        <f>'Notes-4yr'!$F$91</f>
        <v>317.52</v>
      </c>
      <c r="H40" s="220">
        <f>'Notes-4yr'!$F$90</f>
        <v>874.56</v>
      </c>
      <c r="I40" s="220">
        <f t="shared" si="8"/>
        <v>11606.16</v>
      </c>
      <c r="J40" s="58" t="s">
        <v>127</v>
      </c>
      <c r="K40" s="286">
        <f t="shared" si="2"/>
        <v>0.08767234205258546</v>
      </c>
      <c r="O40" s="206"/>
      <c r="P40" s="16"/>
      <c r="S40" s="205"/>
    </row>
    <row r="41" spans="1:19" ht="12.75">
      <c r="A41" s="344"/>
      <c r="B41" s="395" t="s">
        <v>467</v>
      </c>
      <c r="C41" s="222">
        <v>10670.64</v>
      </c>
      <c r="D41" s="223">
        <f t="shared" si="6"/>
        <v>10129.92</v>
      </c>
      <c r="E41" s="238">
        <v>422.08</v>
      </c>
      <c r="F41" s="238">
        <f t="shared" si="7"/>
        <v>1192.08</v>
      </c>
      <c r="G41" s="220">
        <f>'Notes-4yr'!$F$91</f>
        <v>317.52</v>
      </c>
      <c r="H41" s="220">
        <f>'Notes-4yr'!$F$90</f>
        <v>874.56</v>
      </c>
      <c r="I41" s="220">
        <f t="shared" si="8"/>
        <v>11322</v>
      </c>
      <c r="J41" s="58" t="s">
        <v>127</v>
      </c>
      <c r="K41" s="286">
        <f t="shared" si="2"/>
        <v>0.06104226175749539</v>
      </c>
      <c r="O41" s="206"/>
      <c r="P41" s="16"/>
      <c r="S41" s="205"/>
    </row>
    <row r="42" spans="1:19" ht="12.75">
      <c r="A42" s="344"/>
      <c r="B42" s="395" t="s">
        <v>468</v>
      </c>
      <c r="C42" s="222">
        <v>22495.92</v>
      </c>
      <c r="D42" s="223">
        <f t="shared" si="6"/>
        <v>22830.239999999998</v>
      </c>
      <c r="E42" s="238">
        <v>951.26</v>
      </c>
      <c r="F42" s="238">
        <f t="shared" si="7"/>
        <v>1192.08</v>
      </c>
      <c r="G42" s="220">
        <f>'Notes-4yr'!$F$91</f>
        <v>317.52</v>
      </c>
      <c r="H42" s="220">
        <f>'Notes-4yr'!$F$90</f>
        <v>874.56</v>
      </c>
      <c r="I42" s="220">
        <f t="shared" si="8"/>
        <v>24022.32</v>
      </c>
      <c r="J42" s="58" t="s">
        <v>127</v>
      </c>
      <c r="K42" s="286">
        <f t="shared" si="2"/>
        <v>0.06785230388443778</v>
      </c>
      <c r="O42" s="206"/>
      <c r="P42" s="16"/>
      <c r="S42" s="205"/>
    </row>
    <row r="43" spans="1:19" ht="12.75">
      <c r="A43" s="344"/>
      <c r="B43" s="395" t="s">
        <v>469</v>
      </c>
      <c r="C43" s="222">
        <v>21916.079999999998</v>
      </c>
      <c r="D43" s="223">
        <f t="shared" si="6"/>
        <v>22830.239999999998</v>
      </c>
      <c r="E43" s="238">
        <v>951.26</v>
      </c>
      <c r="F43" s="238">
        <f t="shared" si="7"/>
        <v>1192.08</v>
      </c>
      <c r="G43" s="220">
        <f>'Notes-4yr'!$F$91</f>
        <v>317.52</v>
      </c>
      <c r="H43" s="220">
        <f>'Notes-4yr'!$F$90</f>
        <v>874.56</v>
      </c>
      <c r="I43" s="220">
        <f t="shared" si="8"/>
        <v>24022.32</v>
      </c>
      <c r="J43" s="58" t="s">
        <v>127</v>
      </c>
      <c r="K43" s="286">
        <f t="shared" si="2"/>
        <v>0.09610477786173448</v>
      </c>
      <c r="O43" s="206"/>
      <c r="P43" s="16"/>
      <c r="S43" s="205"/>
    </row>
    <row r="44" spans="1:19" ht="12.75">
      <c r="A44" s="344"/>
      <c r="B44" s="395" t="s">
        <v>470</v>
      </c>
      <c r="C44" s="222">
        <v>21916.079999999998</v>
      </c>
      <c r="D44" s="223">
        <f t="shared" si="6"/>
        <v>22207.68</v>
      </c>
      <c r="E44" s="238">
        <v>925.32</v>
      </c>
      <c r="F44" s="238">
        <f t="shared" si="7"/>
        <v>1192.08</v>
      </c>
      <c r="G44" s="220">
        <f>'Notes-4yr'!$F$91</f>
        <v>317.52</v>
      </c>
      <c r="H44" s="220">
        <f>'Notes-4yr'!$F$90</f>
        <v>874.56</v>
      </c>
      <c r="I44" s="220">
        <f t="shared" si="8"/>
        <v>23399.760000000002</v>
      </c>
      <c r="J44" s="58" t="s">
        <v>127</v>
      </c>
      <c r="K44" s="286">
        <f t="shared" si="2"/>
        <v>0.06769823800606696</v>
      </c>
      <c r="O44" s="206"/>
      <c r="P44" s="16"/>
      <c r="S44" s="205"/>
    </row>
    <row r="45" spans="1:19" ht="12.75">
      <c r="A45" s="344"/>
      <c r="B45" s="395" t="s">
        <v>282</v>
      </c>
      <c r="C45" s="226">
        <v>10080</v>
      </c>
      <c r="D45" s="223">
        <f t="shared" si="6"/>
        <v>9600</v>
      </c>
      <c r="E45" s="220">
        <v>400</v>
      </c>
      <c r="F45" s="238">
        <f t="shared" si="1"/>
        <v>480</v>
      </c>
      <c r="G45" s="220">
        <f>'Notes-4yr'!D97</f>
        <v>0</v>
      </c>
      <c r="H45" s="220">
        <f>'Notes-4yr'!D96</f>
        <v>480</v>
      </c>
      <c r="I45" s="220">
        <f t="shared" si="4"/>
        <v>10080</v>
      </c>
      <c r="J45" s="58" t="s">
        <v>127</v>
      </c>
      <c r="K45" s="286">
        <f t="shared" si="2"/>
        <v>0</v>
      </c>
      <c r="L45" s="16">
        <f t="shared" si="3"/>
        <v>5040</v>
      </c>
      <c r="O45" s="206">
        <f>I45/24</f>
        <v>420</v>
      </c>
      <c r="P45" s="16"/>
      <c r="S45" s="205"/>
    </row>
    <row r="46" spans="1:19" ht="12.75">
      <c r="A46" s="345"/>
      <c r="B46" s="396" t="s">
        <v>283</v>
      </c>
      <c r="C46" s="227">
        <v>10080</v>
      </c>
      <c r="D46" s="225">
        <f t="shared" si="6"/>
        <v>9600</v>
      </c>
      <c r="E46" s="221">
        <v>400</v>
      </c>
      <c r="F46" s="239">
        <f t="shared" si="1"/>
        <v>480</v>
      </c>
      <c r="G46" s="221">
        <f>'Notes-4yr'!D97</f>
        <v>0</v>
      </c>
      <c r="H46" s="221">
        <f>'Notes-4yr'!D96</f>
        <v>480</v>
      </c>
      <c r="I46" s="221">
        <f>D46+F46</f>
        <v>10080</v>
      </c>
      <c r="J46" s="59" t="s">
        <v>127</v>
      </c>
      <c r="K46" s="286">
        <f t="shared" si="2"/>
        <v>0</v>
      </c>
      <c r="L46" s="16">
        <f t="shared" si="3"/>
        <v>5040</v>
      </c>
      <c r="O46" s="208">
        <f>I46/24</f>
        <v>420</v>
      </c>
      <c r="P46" s="16"/>
      <c r="S46" s="205"/>
    </row>
    <row r="47" spans="1:22" ht="12.75">
      <c r="A47" s="343" t="s">
        <v>83</v>
      </c>
      <c r="B47" s="395" t="s">
        <v>11</v>
      </c>
      <c r="C47" s="222">
        <v>5624.5</v>
      </c>
      <c r="D47" s="223">
        <f>E47*15*2</f>
        <v>4170</v>
      </c>
      <c r="E47" s="220">
        <v>139</v>
      </c>
      <c r="F47" s="238">
        <f t="shared" si="1"/>
        <v>1792</v>
      </c>
      <c r="G47" s="220">
        <f>'Notes-4yr'!C104</f>
        <v>870</v>
      </c>
      <c r="H47" s="220">
        <f>'Notes-4yr'!C113</f>
        <v>922</v>
      </c>
      <c r="I47" s="220">
        <f>D47+F47</f>
        <v>5962</v>
      </c>
      <c r="J47" s="58" t="s">
        <v>127</v>
      </c>
      <c r="K47" s="366">
        <f t="shared" si="2"/>
        <v>0.06000533380744955</v>
      </c>
      <c r="L47" s="16">
        <f t="shared" si="3"/>
        <v>2981</v>
      </c>
      <c r="O47" s="206">
        <f>I47/30</f>
        <v>198.73333333333332</v>
      </c>
      <c r="P47" s="16"/>
      <c r="S47" s="205"/>
      <c r="U47" s="205"/>
      <c r="V47" s="306"/>
    </row>
    <row r="48" spans="1:19" ht="12.75">
      <c r="A48" s="347"/>
      <c r="B48" s="396" t="s">
        <v>38</v>
      </c>
      <c r="C48" s="224">
        <v>12554.5</v>
      </c>
      <c r="D48" s="225">
        <f>E48*15*2</f>
        <v>11400</v>
      </c>
      <c r="E48" s="221">
        <v>380</v>
      </c>
      <c r="F48" s="239">
        <f t="shared" si="1"/>
        <v>1792</v>
      </c>
      <c r="G48" s="221">
        <f>'Notes-4yr'!C104</f>
        <v>870</v>
      </c>
      <c r="H48" s="221">
        <f>'Notes-4yr'!C113</f>
        <v>922</v>
      </c>
      <c r="I48" s="221">
        <f>D48+F48</f>
        <v>13192</v>
      </c>
      <c r="J48" s="59" t="s">
        <v>127</v>
      </c>
      <c r="K48" s="287">
        <f t="shared" si="2"/>
        <v>0.05077860528097495</v>
      </c>
      <c r="L48" s="16">
        <f t="shared" si="3"/>
        <v>6596</v>
      </c>
      <c r="O48" s="207">
        <f>I48/30</f>
        <v>439.73333333333335</v>
      </c>
      <c r="P48" s="16"/>
      <c r="S48" s="205"/>
    </row>
    <row r="49" spans="1:22" ht="12.75">
      <c r="A49" s="343" t="s">
        <v>5</v>
      </c>
      <c r="B49" s="395" t="s">
        <v>11</v>
      </c>
      <c r="C49" s="222">
        <v>7600.799999999999</v>
      </c>
      <c r="D49" s="223">
        <f>E49*15*2</f>
        <v>6180</v>
      </c>
      <c r="E49" s="238">
        <v>206</v>
      </c>
      <c r="F49" s="238">
        <f t="shared" si="1"/>
        <v>1865</v>
      </c>
      <c r="G49" s="220">
        <f>'Notes-4yr'!D119</f>
        <v>517.5</v>
      </c>
      <c r="H49" s="220">
        <f>'Notes-4yr'!D133</f>
        <v>1347.5</v>
      </c>
      <c r="I49" s="220">
        <f aca="true" t="shared" si="9" ref="I49:I58">D49+F49</f>
        <v>8045</v>
      </c>
      <c r="J49" s="58" t="s">
        <v>127</v>
      </c>
      <c r="K49" s="286">
        <f t="shared" si="2"/>
        <v>0.0584412167140302</v>
      </c>
      <c r="L49" s="16">
        <f t="shared" si="3"/>
        <v>4022.5</v>
      </c>
      <c r="O49" s="206">
        <f>I49/30</f>
        <v>268.1666666666667</v>
      </c>
      <c r="P49" s="16"/>
      <c r="Q49" s="271"/>
      <c r="S49" s="205"/>
      <c r="U49" s="205"/>
      <c r="V49" s="306"/>
    </row>
    <row r="50" spans="1:21" ht="12.75">
      <c r="A50" s="344"/>
      <c r="B50" s="395" t="s">
        <v>38</v>
      </c>
      <c r="C50" s="222">
        <v>18076.2</v>
      </c>
      <c r="D50" s="223">
        <f>E50*15*2</f>
        <v>17250</v>
      </c>
      <c r="E50" s="238">
        <v>575</v>
      </c>
      <c r="F50" s="238">
        <f t="shared" si="1"/>
        <v>1865</v>
      </c>
      <c r="G50" s="220">
        <f>'Notes-4yr'!D119</f>
        <v>517.5</v>
      </c>
      <c r="H50" s="220">
        <f>'Notes-4yr'!D133</f>
        <v>1347.5</v>
      </c>
      <c r="I50" s="220">
        <f t="shared" si="9"/>
        <v>19115</v>
      </c>
      <c r="J50" s="58" t="s">
        <v>127</v>
      </c>
      <c r="K50" s="286">
        <f t="shared" si="2"/>
        <v>0.0574678306281187</v>
      </c>
      <c r="L50" s="16">
        <f t="shared" si="3"/>
        <v>9557.5</v>
      </c>
      <c r="O50" s="206">
        <f>I50/30</f>
        <v>637.1666666666666</v>
      </c>
      <c r="P50" s="16"/>
      <c r="Q50" s="271"/>
      <c r="S50" s="205"/>
      <c r="U50" s="205"/>
    </row>
    <row r="51" spans="1:21" ht="12.75">
      <c r="A51" s="344"/>
      <c r="B51" s="395" t="s">
        <v>36</v>
      </c>
      <c r="C51" s="222">
        <v>8172.96</v>
      </c>
      <c r="D51" s="223">
        <f>E51*12*2</f>
        <v>7200</v>
      </c>
      <c r="E51" s="238">
        <v>300</v>
      </c>
      <c r="F51" s="238">
        <f t="shared" si="1"/>
        <v>1502</v>
      </c>
      <c r="G51" s="220">
        <f>'Notes-4yr'!E119</f>
        <v>414</v>
      </c>
      <c r="H51" s="220">
        <f>'Notes-4yr'!E133</f>
        <v>1088</v>
      </c>
      <c r="I51" s="220">
        <f t="shared" si="9"/>
        <v>8702</v>
      </c>
      <c r="J51" s="58" t="s">
        <v>127</v>
      </c>
      <c r="K51" s="286">
        <f t="shared" si="2"/>
        <v>0.06473052602728999</v>
      </c>
      <c r="L51" s="16">
        <f t="shared" si="3"/>
        <v>4351</v>
      </c>
      <c r="O51" s="206">
        <f>I51/24</f>
        <v>362.5833333333333</v>
      </c>
      <c r="P51" s="16"/>
      <c r="Q51" s="271"/>
      <c r="S51" s="205"/>
      <c r="U51" s="205"/>
    </row>
    <row r="52" spans="1:21" ht="12.75">
      <c r="A52" s="344"/>
      <c r="B52" s="395" t="s">
        <v>39</v>
      </c>
      <c r="C52" s="222">
        <v>16980.96</v>
      </c>
      <c r="D52" s="223">
        <f>E52*12*2</f>
        <v>16560</v>
      </c>
      <c r="E52" s="238">
        <v>690</v>
      </c>
      <c r="F52" s="238">
        <f t="shared" si="1"/>
        <v>1502</v>
      </c>
      <c r="G52" s="220">
        <f>'Notes-4yr'!E119</f>
        <v>414</v>
      </c>
      <c r="H52" s="220">
        <f>'Notes-4yr'!E133</f>
        <v>1088</v>
      </c>
      <c r="I52" s="220">
        <f t="shared" si="9"/>
        <v>18062</v>
      </c>
      <c r="J52" s="58" t="s">
        <v>127</v>
      </c>
      <c r="K52" s="286">
        <f t="shared" si="2"/>
        <v>0.06366188955159195</v>
      </c>
      <c r="L52" s="16">
        <f t="shared" si="3"/>
        <v>9031</v>
      </c>
      <c r="O52" s="206">
        <f>I52/24</f>
        <v>752.5833333333334</v>
      </c>
      <c r="P52" s="16"/>
      <c r="Q52" s="271"/>
      <c r="S52" s="205"/>
      <c r="U52" s="205"/>
    </row>
    <row r="53" spans="1:21" ht="12.75">
      <c r="A53" s="344"/>
      <c r="B53" s="395" t="s">
        <v>504</v>
      </c>
      <c r="C53" s="222">
        <v>7996.2</v>
      </c>
      <c r="D53" s="223">
        <f>E53*15*2</f>
        <v>6630</v>
      </c>
      <c r="E53" s="238">
        <v>221</v>
      </c>
      <c r="F53" s="238">
        <f t="shared" si="1"/>
        <v>1865</v>
      </c>
      <c r="G53" s="220">
        <f>'Notes-4yr'!D119</f>
        <v>517.5</v>
      </c>
      <c r="H53" s="220">
        <f>'Notes-4yr'!D133</f>
        <v>1347.5</v>
      </c>
      <c r="I53" s="220">
        <f t="shared" si="9"/>
        <v>8495</v>
      </c>
      <c r="J53" s="58" t="s">
        <v>127</v>
      </c>
      <c r="K53" s="286">
        <f t="shared" si="2"/>
        <v>0.06237963032440411</v>
      </c>
      <c r="L53" s="16">
        <f t="shared" si="3"/>
        <v>4247.5</v>
      </c>
      <c r="O53" s="206">
        <f>I53/30</f>
        <v>283.1666666666667</v>
      </c>
      <c r="P53" s="16"/>
      <c r="Q53" s="271"/>
      <c r="S53" s="205"/>
      <c r="U53" s="205"/>
    </row>
    <row r="54" spans="1:21" ht="12.75">
      <c r="A54" s="344"/>
      <c r="B54" s="395" t="s">
        <v>505</v>
      </c>
      <c r="C54" s="222">
        <v>18691.2</v>
      </c>
      <c r="D54" s="223">
        <f>E54*15*2</f>
        <v>18000</v>
      </c>
      <c r="E54" s="220">
        <v>600</v>
      </c>
      <c r="F54" s="238">
        <f t="shared" si="1"/>
        <v>1865</v>
      </c>
      <c r="G54" s="220">
        <f>'Notes-4yr'!D119</f>
        <v>517.5</v>
      </c>
      <c r="H54" s="220">
        <f>'Notes-4yr'!D133</f>
        <v>1347.5</v>
      </c>
      <c r="I54" s="220">
        <f t="shared" si="9"/>
        <v>19865</v>
      </c>
      <c r="J54" s="58" t="s">
        <v>127</v>
      </c>
      <c r="K54" s="286">
        <f t="shared" si="2"/>
        <v>0.06279960623180958</v>
      </c>
      <c r="L54" s="16">
        <f t="shared" si="3"/>
        <v>9932.5</v>
      </c>
      <c r="O54" s="206">
        <f>I54/30</f>
        <v>662.1666666666666</v>
      </c>
      <c r="P54" s="16"/>
      <c r="Q54" s="271"/>
      <c r="S54" s="205"/>
      <c r="U54" s="205"/>
    </row>
    <row r="55" spans="1:21" ht="12.75">
      <c r="A55" s="344"/>
      <c r="B55" s="395" t="s">
        <v>506</v>
      </c>
      <c r="C55" s="222">
        <v>8412.96</v>
      </c>
      <c r="D55" s="223">
        <f>E55*12*2</f>
        <v>7800</v>
      </c>
      <c r="E55" s="354">
        <v>325</v>
      </c>
      <c r="F55" s="238">
        <f t="shared" si="1"/>
        <v>1502</v>
      </c>
      <c r="G55" s="220">
        <f>'Notes-4yr'!E119</f>
        <v>414</v>
      </c>
      <c r="H55" s="220">
        <f>'Notes-4yr'!E133</f>
        <v>1088</v>
      </c>
      <c r="I55" s="220">
        <f t="shared" si="9"/>
        <v>9302</v>
      </c>
      <c r="J55" s="58" t="s">
        <v>127</v>
      </c>
      <c r="K55" s="286">
        <f t="shared" si="2"/>
        <v>0.10567505372663141</v>
      </c>
      <c r="L55" s="16">
        <f t="shared" si="3"/>
        <v>4651</v>
      </c>
      <c r="O55" s="206">
        <f>I55/24</f>
        <v>387.5833333333333</v>
      </c>
      <c r="P55" s="16"/>
      <c r="Q55" s="271"/>
      <c r="S55" s="205"/>
      <c r="U55" s="205"/>
    </row>
    <row r="56" spans="1:21" ht="12.75">
      <c r="A56" s="344"/>
      <c r="B56" s="395" t="s">
        <v>507</v>
      </c>
      <c r="C56" s="222">
        <v>16980.96</v>
      </c>
      <c r="D56" s="223">
        <f>E56*12*2</f>
        <v>16800</v>
      </c>
      <c r="E56" s="354">
        <v>700</v>
      </c>
      <c r="F56" s="238">
        <f t="shared" si="1"/>
        <v>1502</v>
      </c>
      <c r="G56" s="220">
        <f>'Notes-4yr'!E119</f>
        <v>414</v>
      </c>
      <c r="H56" s="220">
        <f>'Notes-4yr'!E133</f>
        <v>1088</v>
      </c>
      <c r="I56" s="220">
        <f t="shared" si="9"/>
        <v>18302</v>
      </c>
      <c r="J56" s="58" t="s">
        <v>127</v>
      </c>
      <c r="K56" s="286">
        <f t="shared" si="2"/>
        <v>0.07779536610415436</v>
      </c>
      <c r="L56" s="16">
        <f t="shared" si="3"/>
        <v>9151</v>
      </c>
      <c r="O56" s="206">
        <f>I56/24</f>
        <v>762.5833333333334</v>
      </c>
      <c r="P56" s="16"/>
      <c r="Q56" s="271"/>
      <c r="S56" s="205"/>
      <c r="U56" s="205"/>
    </row>
    <row r="57" spans="1:21" ht="12.75">
      <c r="A57" s="344"/>
      <c r="B57" s="395" t="s">
        <v>37</v>
      </c>
      <c r="C57" s="222">
        <v>10944.100000000002</v>
      </c>
      <c r="D57" s="223">
        <f>E57*12*2</f>
        <v>9624</v>
      </c>
      <c r="E57" s="238">
        <v>401</v>
      </c>
      <c r="F57" s="238">
        <f t="shared" si="1"/>
        <v>1820.9</v>
      </c>
      <c r="G57" s="220">
        <f>'Notes-4yr'!C119</f>
        <v>0</v>
      </c>
      <c r="H57" s="220">
        <f>'Notes-4yr'!C133</f>
        <v>1820.9</v>
      </c>
      <c r="I57" s="220">
        <f t="shared" si="9"/>
        <v>11444.9</v>
      </c>
      <c r="J57" s="58" t="s">
        <v>127</v>
      </c>
      <c r="K57" s="286">
        <f t="shared" si="2"/>
        <v>0.045759815791156636</v>
      </c>
      <c r="L57" s="16">
        <f t="shared" si="3"/>
        <v>5722.45</v>
      </c>
      <c r="O57" s="206">
        <f>I57/24</f>
        <v>476.87083333333334</v>
      </c>
      <c r="P57" s="16"/>
      <c r="Q57" s="271"/>
      <c r="S57" s="205"/>
      <c r="U57" s="205"/>
    </row>
    <row r="58" spans="1:21" ht="12.75">
      <c r="A58" s="345"/>
      <c r="B58" s="396" t="s">
        <v>40</v>
      </c>
      <c r="C58" s="224">
        <v>21979.3</v>
      </c>
      <c r="D58" s="225">
        <f>E58*12*2</f>
        <v>21100.800000000003</v>
      </c>
      <c r="E58" s="239">
        <v>879.2</v>
      </c>
      <c r="F58" s="239">
        <f t="shared" si="1"/>
        <v>1820.9</v>
      </c>
      <c r="G58" s="221">
        <f>'Notes-4yr'!C119</f>
        <v>0</v>
      </c>
      <c r="H58" s="221">
        <f>'Notes-4yr'!C133</f>
        <v>1820.9</v>
      </c>
      <c r="I58" s="221">
        <f t="shared" si="9"/>
        <v>22921.700000000004</v>
      </c>
      <c r="J58" s="59" t="s">
        <v>127</v>
      </c>
      <c r="K58" s="287">
        <f t="shared" si="2"/>
        <v>0.04287670671950449</v>
      </c>
      <c r="L58" s="16">
        <f t="shared" si="3"/>
        <v>11460.850000000002</v>
      </c>
      <c r="O58" s="207">
        <f>I58/24</f>
        <v>955.0708333333336</v>
      </c>
      <c r="P58" s="16"/>
      <c r="Q58" s="271"/>
      <c r="S58" s="205"/>
      <c r="U58" s="205"/>
    </row>
    <row r="59" spans="1:22" ht="12.75">
      <c r="A59" s="343" t="s">
        <v>6</v>
      </c>
      <c r="B59" s="395" t="s">
        <v>11</v>
      </c>
      <c r="C59" s="222">
        <v>5793.1</v>
      </c>
      <c r="D59" s="223">
        <f>E59*15*2</f>
        <v>4230</v>
      </c>
      <c r="E59" s="238">
        <v>141</v>
      </c>
      <c r="F59" s="238">
        <f t="shared" si="1"/>
        <v>1852</v>
      </c>
      <c r="G59" s="220">
        <f>'Notes-4yr'!C140</f>
        <v>780</v>
      </c>
      <c r="H59" s="220">
        <f>'Notes-4yr'!C149</f>
        <v>1072</v>
      </c>
      <c r="I59" s="220">
        <f aca="true" t="shared" si="10" ref="I59:I93">D59+F59</f>
        <v>6082</v>
      </c>
      <c r="J59" s="58" t="s">
        <v>127</v>
      </c>
      <c r="K59" s="286">
        <f t="shared" si="2"/>
        <v>0.049869672541471684</v>
      </c>
      <c r="L59" s="16">
        <f t="shared" si="3"/>
        <v>3041</v>
      </c>
      <c r="O59" s="206">
        <f>I59/30</f>
        <v>202.73333333333332</v>
      </c>
      <c r="P59" s="16"/>
      <c r="S59" s="205"/>
      <c r="U59" s="205"/>
      <c r="V59" s="306"/>
    </row>
    <row r="60" spans="1:19" ht="12.75">
      <c r="A60" s="346"/>
      <c r="B60" s="395" t="s">
        <v>38</v>
      </c>
      <c r="C60" s="222">
        <v>11590</v>
      </c>
      <c r="D60" s="223">
        <f>E60*15*2</f>
        <v>10200</v>
      </c>
      <c r="E60" s="220">
        <v>340</v>
      </c>
      <c r="F60" s="238">
        <f>G60+H60</f>
        <v>1852</v>
      </c>
      <c r="G60" s="220">
        <f>'Notes-4yr'!C140</f>
        <v>780</v>
      </c>
      <c r="H60" s="220">
        <f>'Notes-4yr'!C149</f>
        <v>1072</v>
      </c>
      <c r="I60" s="220">
        <f>D60+F60</f>
        <v>12052</v>
      </c>
      <c r="J60" s="58" t="s">
        <v>127</v>
      </c>
      <c r="K60" s="286">
        <f>((I60-C60)/C60)</f>
        <v>0.03986194995685936</v>
      </c>
      <c r="L60" s="16">
        <f t="shared" si="3"/>
        <v>6026</v>
      </c>
      <c r="O60" s="206">
        <f>I60/30</f>
        <v>401.73333333333335</v>
      </c>
      <c r="P60" s="16"/>
      <c r="S60" s="205"/>
    </row>
    <row r="61" spans="1:19" ht="12.75">
      <c r="A61" s="346"/>
      <c r="B61" s="395" t="s">
        <v>36</v>
      </c>
      <c r="C61" s="222">
        <v>6984</v>
      </c>
      <c r="D61" s="223">
        <f>E61*12*2</f>
        <v>6000</v>
      </c>
      <c r="E61" s="220">
        <v>250</v>
      </c>
      <c r="F61" s="238">
        <f>G61+H61</f>
        <v>1473.6</v>
      </c>
      <c r="G61" s="220">
        <f>'Notes-4yr'!D140</f>
        <v>624</v>
      </c>
      <c r="H61" s="220">
        <f>'Notes-4yr'!D149</f>
        <v>849.6</v>
      </c>
      <c r="I61" s="220">
        <f>D61+F61</f>
        <v>7473.6</v>
      </c>
      <c r="J61" s="58" t="s">
        <v>127</v>
      </c>
      <c r="K61" s="286">
        <f>((I61-C61)/C61)</f>
        <v>0.07010309278350521</v>
      </c>
      <c r="L61" s="16">
        <f t="shared" si="3"/>
        <v>3736.8</v>
      </c>
      <c r="M61" s="1">
        <f>I61-(E61*4)</f>
        <v>6473.6</v>
      </c>
      <c r="N61" s="1">
        <f>E61*20+'Notes-4yr'!$K$147</f>
        <v>6040</v>
      </c>
      <c r="O61" s="206">
        <f>I61/24</f>
        <v>311.40000000000003</v>
      </c>
      <c r="P61" s="16"/>
      <c r="S61" s="205"/>
    </row>
    <row r="62" spans="1:19" ht="12.75">
      <c r="A62" s="346"/>
      <c r="B62" s="395" t="s">
        <v>39</v>
      </c>
      <c r="C62" s="222">
        <v>12864</v>
      </c>
      <c r="D62" s="223">
        <f>E62*12*2</f>
        <v>11880</v>
      </c>
      <c r="E62" s="220">
        <v>495</v>
      </c>
      <c r="F62" s="238">
        <f>G62+H62</f>
        <v>1473.6</v>
      </c>
      <c r="G62" s="220">
        <f>'Notes-4yr'!D140</f>
        <v>624</v>
      </c>
      <c r="H62" s="220">
        <f>'Notes-4yr'!D149</f>
        <v>849.6</v>
      </c>
      <c r="I62" s="220">
        <f>D62+F62</f>
        <v>13353.6</v>
      </c>
      <c r="J62" s="58" t="s">
        <v>127</v>
      </c>
      <c r="K62" s="286">
        <f>((I62-C62)/C62)</f>
        <v>0.03805970149253734</v>
      </c>
      <c r="L62" s="16">
        <f t="shared" si="3"/>
        <v>6676.8</v>
      </c>
      <c r="M62" s="1">
        <f>I62-(E62*4)</f>
        <v>11373.6</v>
      </c>
      <c r="N62" s="1">
        <f>E62*20+'Notes-4yr'!$K$147</f>
        <v>10940</v>
      </c>
      <c r="O62" s="206">
        <f>I62/24</f>
        <v>556.4</v>
      </c>
      <c r="P62" s="16"/>
      <c r="S62" s="205"/>
    </row>
    <row r="63" spans="1:19" ht="12.75">
      <c r="A63" s="346"/>
      <c r="B63" s="395" t="s">
        <v>318</v>
      </c>
      <c r="C63" s="222">
        <v>2510.8</v>
      </c>
      <c r="D63" s="223">
        <f>E63*15*2</f>
        <v>2250</v>
      </c>
      <c r="E63" s="238">
        <v>75</v>
      </c>
      <c r="F63" s="238">
        <f t="shared" si="1"/>
        <v>360.7</v>
      </c>
      <c r="G63" s="220">
        <f>'Notes-4yr'!E140</f>
        <v>0</v>
      </c>
      <c r="H63" s="220">
        <f>'Notes-4yr'!E149</f>
        <v>360.7</v>
      </c>
      <c r="I63" s="220">
        <f t="shared" si="10"/>
        <v>2610.7</v>
      </c>
      <c r="J63" s="58" t="s">
        <v>127</v>
      </c>
      <c r="K63" s="286">
        <f t="shared" si="2"/>
        <v>0.03978811534172361</v>
      </c>
      <c r="L63" s="16">
        <f t="shared" si="3"/>
        <v>1305.35</v>
      </c>
      <c r="O63" s="206">
        <f>I63/30</f>
        <v>87.02333333333333</v>
      </c>
      <c r="P63" s="16"/>
      <c r="S63" s="205"/>
    </row>
    <row r="64" spans="1:19" ht="12.75">
      <c r="A64" s="347"/>
      <c r="B64" s="396" t="s">
        <v>319</v>
      </c>
      <c r="C64" s="224">
        <v>3160</v>
      </c>
      <c r="D64" s="225">
        <f>E64*15*2</f>
        <v>2910</v>
      </c>
      <c r="E64" s="221">
        <v>97</v>
      </c>
      <c r="F64" s="239">
        <f t="shared" si="1"/>
        <v>360.7</v>
      </c>
      <c r="G64" s="221">
        <f>'Notes-4yr'!E140</f>
        <v>0</v>
      </c>
      <c r="H64" s="221">
        <f>'Notes-4yr'!E149</f>
        <v>360.7</v>
      </c>
      <c r="I64" s="221">
        <f t="shared" si="10"/>
        <v>3270.7</v>
      </c>
      <c r="J64" s="59" t="s">
        <v>127</v>
      </c>
      <c r="K64" s="287">
        <f t="shared" si="2"/>
        <v>0.0350316455696202</v>
      </c>
      <c r="L64" s="16">
        <f t="shared" si="3"/>
        <v>1635.35</v>
      </c>
      <c r="O64" s="207">
        <f>I64/30</f>
        <v>109.02333333333333</v>
      </c>
      <c r="P64" s="16"/>
      <c r="S64" s="205"/>
    </row>
    <row r="65" spans="1:19" ht="12.75">
      <c r="A65" s="343" t="s">
        <v>9</v>
      </c>
      <c r="B65" s="395" t="s">
        <v>546</v>
      </c>
      <c r="C65" s="222">
        <v>7935</v>
      </c>
      <c r="D65" s="223" t="s">
        <v>426</v>
      </c>
      <c r="E65" s="220"/>
      <c r="F65" s="238" t="s">
        <v>426</v>
      </c>
      <c r="G65" s="220" t="s">
        <v>426</v>
      </c>
      <c r="H65" s="220" t="s">
        <v>426</v>
      </c>
      <c r="I65" s="220" t="s">
        <v>426</v>
      </c>
      <c r="J65" s="58" t="s">
        <v>426</v>
      </c>
      <c r="K65" s="286" t="s">
        <v>426</v>
      </c>
      <c r="L65" s="16" t="e">
        <f t="shared" si="3"/>
        <v>#VALUE!</v>
      </c>
      <c r="O65" s="206" t="e">
        <f>I65/30</f>
        <v>#VALUE!</v>
      </c>
      <c r="P65" s="16"/>
      <c r="S65" s="205"/>
    </row>
    <row r="66" spans="1:19" ht="12.75">
      <c r="A66" s="346"/>
      <c r="B66" s="395" t="s">
        <v>547</v>
      </c>
      <c r="C66" s="222">
        <v>8355</v>
      </c>
      <c r="D66" s="223" t="s">
        <v>426</v>
      </c>
      <c r="E66" s="220"/>
      <c r="F66" s="238" t="s">
        <v>426</v>
      </c>
      <c r="G66" s="220" t="s">
        <v>426</v>
      </c>
      <c r="H66" s="220" t="s">
        <v>426</v>
      </c>
      <c r="I66" s="220" t="s">
        <v>426</v>
      </c>
      <c r="J66" s="58" t="s">
        <v>426</v>
      </c>
      <c r="K66" s="286" t="s">
        <v>426</v>
      </c>
      <c r="L66" s="16" t="e">
        <f t="shared" si="3"/>
        <v>#VALUE!</v>
      </c>
      <c r="O66" s="206" t="e">
        <f>I66/30</f>
        <v>#VALUE!</v>
      </c>
      <c r="P66" s="16"/>
      <c r="S66" s="205"/>
    </row>
    <row r="67" spans="1:19" ht="12.75">
      <c r="A67" s="346"/>
      <c r="B67" s="277" t="s">
        <v>71</v>
      </c>
      <c r="C67" s="222">
        <v>17835</v>
      </c>
      <c r="D67" s="223" t="s">
        <v>426</v>
      </c>
      <c r="E67" s="220"/>
      <c r="F67" s="238" t="s">
        <v>426</v>
      </c>
      <c r="G67" s="220" t="s">
        <v>426</v>
      </c>
      <c r="H67" s="220" t="s">
        <v>426</v>
      </c>
      <c r="I67" s="220" t="s">
        <v>426</v>
      </c>
      <c r="J67" s="58" t="s">
        <v>426</v>
      </c>
      <c r="K67" s="286" t="s">
        <v>426</v>
      </c>
      <c r="L67" s="16" t="e">
        <f t="shared" si="3"/>
        <v>#VALUE!</v>
      </c>
      <c r="O67" s="206" t="e">
        <f>I67/30</f>
        <v>#VALUE!</v>
      </c>
      <c r="P67" s="16"/>
      <c r="S67" s="205"/>
    </row>
    <row r="68" spans="1:19" ht="12.75">
      <c r="A68" s="346"/>
      <c r="B68" s="277" t="s">
        <v>530</v>
      </c>
      <c r="C68" s="222" t="s">
        <v>426</v>
      </c>
      <c r="D68" s="223">
        <f>E68*15*2</f>
        <v>7350</v>
      </c>
      <c r="E68" s="220">
        <v>245</v>
      </c>
      <c r="F68" s="238">
        <f t="shared" si="1"/>
        <v>910</v>
      </c>
      <c r="G68" s="220">
        <v>0</v>
      </c>
      <c r="H68" s="220">
        <f>120+600+30+44+116</f>
        <v>910</v>
      </c>
      <c r="I68" s="220">
        <f t="shared" si="10"/>
        <v>8260</v>
      </c>
      <c r="J68" s="58" t="s">
        <v>141</v>
      </c>
      <c r="K68" s="286" t="s">
        <v>426</v>
      </c>
      <c r="O68" s="206"/>
      <c r="P68" s="16"/>
      <c r="S68" s="205"/>
    </row>
    <row r="69" spans="1:19" ht="12.75">
      <c r="A69" s="346"/>
      <c r="B69" s="277" t="s">
        <v>531</v>
      </c>
      <c r="C69" s="222" t="s">
        <v>426</v>
      </c>
      <c r="D69" s="223">
        <f>E69*15*2</f>
        <v>16830</v>
      </c>
      <c r="E69" s="220">
        <v>561</v>
      </c>
      <c r="F69" s="238">
        <f t="shared" si="1"/>
        <v>910</v>
      </c>
      <c r="G69" s="220">
        <v>0</v>
      </c>
      <c r="H69" s="220">
        <f aca="true" t="shared" si="11" ref="H69:H85">120+600+30+44+116</f>
        <v>910</v>
      </c>
      <c r="I69" s="220">
        <f t="shared" si="10"/>
        <v>17740</v>
      </c>
      <c r="J69" s="58" t="s">
        <v>141</v>
      </c>
      <c r="K69" s="286" t="s">
        <v>426</v>
      </c>
      <c r="O69" s="206"/>
      <c r="P69" s="16"/>
      <c r="S69" s="205"/>
    </row>
    <row r="70" spans="1:19" ht="12.75">
      <c r="A70" s="346"/>
      <c r="B70" s="277" t="s">
        <v>532</v>
      </c>
      <c r="C70" s="222" t="s">
        <v>426</v>
      </c>
      <c r="D70" s="223">
        <f>E70*12*2</f>
        <v>8832</v>
      </c>
      <c r="E70" s="220">
        <v>368</v>
      </c>
      <c r="F70" s="238">
        <f t="shared" si="1"/>
        <v>910</v>
      </c>
      <c r="G70" s="220">
        <v>0</v>
      </c>
      <c r="H70" s="220">
        <f t="shared" si="11"/>
        <v>910</v>
      </c>
      <c r="I70" s="220">
        <f t="shared" si="10"/>
        <v>9742</v>
      </c>
      <c r="J70" s="58" t="s">
        <v>127</v>
      </c>
      <c r="K70" s="286" t="s">
        <v>426</v>
      </c>
      <c r="O70" s="206"/>
      <c r="P70" s="16"/>
      <c r="S70" s="205"/>
    </row>
    <row r="71" spans="1:19" ht="12.75">
      <c r="A71" s="346"/>
      <c r="B71" s="277" t="s">
        <v>533</v>
      </c>
      <c r="C71" s="222" t="s">
        <v>426</v>
      </c>
      <c r="D71" s="223">
        <f>E71*12*2</f>
        <v>19080</v>
      </c>
      <c r="E71" s="220">
        <v>795</v>
      </c>
      <c r="F71" s="238">
        <f t="shared" si="1"/>
        <v>910</v>
      </c>
      <c r="G71" s="220">
        <v>0</v>
      </c>
      <c r="H71" s="220">
        <f t="shared" si="11"/>
        <v>910</v>
      </c>
      <c r="I71" s="220">
        <f t="shared" si="10"/>
        <v>19990</v>
      </c>
      <c r="J71" s="58" t="s">
        <v>127</v>
      </c>
      <c r="K71" s="286" t="s">
        <v>426</v>
      </c>
      <c r="O71" s="206"/>
      <c r="P71" s="16"/>
      <c r="S71" s="205"/>
    </row>
    <row r="72" spans="1:19" ht="12.75">
      <c r="A72" s="346"/>
      <c r="B72" s="277" t="s">
        <v>90</v>
      </c>
      <c r="C72" s="222">
        <v>7611</v>
      </c>
      <c r="D72" s="223">
        <v>6804</v>
      </c>
      <c r="E72" s="350"/>
      <c r="F72" s="238">
        <f t="shared" si="1"/>
        <v>910</v>
      </c>
      <c r="G72" s="220">
        <v>0</v>
      </c>
      <c r="H72" s="220">
        <f t="shared" si="11"/>
        <v>910</v>
      </c>
      <c r="I72" s="220">
        <f t="shared" si="10"/>
        <v>7714</v>
      </c>
      <c r="J72" s="58" t="s">
        <v>157</v>
      </c>
      <c r="K72" s="286">
        <f t="shared" si="2"/>
        <v>0.013533044278018658</v>
      </c>
      <c r="L72" s="16">
        <f t="shared" si="3"/>
        <v>3857</v>
      </c>
      <c r="O72" s="206">
        <f aca="true" t="shared" si="12" ref="O72:O79">I72/24</f>
        <v>321.4166666666667</v>
      </c>
      <c r="P72" s="16"/>
      <c r="S72" s="205"/>
    </row>
    <row r="73" spans="1:19" ht="12.75">
      <c r="A73" s="346"/>
      <c r="B73" s="277" t="s">
        <v>89</v>
      </c>
      <c r="C73" s="222">
        <v>15207</v>
      </c>
      <c r="D73" s="223">
        <v>14634</v>
      </c>
      <c r="E73" s="350"/>
      <c r="F73" s="238">
        <f t="shared" si="1"/>
        <v>910</v>
      </c>
      <c r="G73" s="220">
        <v>0</v>
      </c>
      <c r="H73" s="220">
        <f t="shared" si="11"/>
        <v>910</v>
      </c>
      <c r="I73" s="220">
        <f t="shared" si="10"/>
        <v>15544</v>
      </c>
      <c r="J73" s="58" t="s">
        <v>157</v>
      </c>
      <c r="K73" s="286">
        <f t="shared" si="2"/>
        <v>0.022160846978365227</v>
      </c>
      <c r="L73" s="16">
        <f t="shared" si="3"/>
        <v>7772</v>
      </c>
      <c r="O73" s="206">
        <f t="shared" si="12"/>
        <v>647.6666666666666</v>
      </c>
      <c r="P73" s="16"/>
      <c r="S73" s="205"/>
    </row>
    <row r="74" spans="1:19" ht="12.75">
      <c r="A74" s="346"/>
      <c r="B74" s="277" t="s">
        <v>36</v>
      </c>
      <c r="C74" s="222">
        <v>7325</v>
      </c>
      <c r="D74" s="223">
        <v>6760</v>
      </c>
      <c r="E74" s="350"/>
      <c r="F74" s="238">
        <f t="shared" si="1"/>
        <v>910</v>
      </c>
      <c r="G74" s="220">
        <v>0</v>
      </c>
      <c r="H74" s="220">
        <f t="shared" si="11"/>
        <v>910</v>
      </c>
      <c r="I74" s="220">
        <f t="shared" si="10"/>
        <v>7670</v>
      </c>
      <c r="J74" s="58" t="s">
        <v>158</v>
      </c>
      <c r="K74" s="286">
        <f t="shared" si="2"/>
        <v>0.04709897610921502</v>
      </c>
      <c r="L74" s="16">
        <f t="shared" si="3"/>
        <v>3835</v>
      </c>
      <c r="O74" s="206">
        <f t="shared" si="12"/>
        <v>319.5833333333333</v>
      </c>
      <c r="P74" s="16"/>
      <c r="S74" s="205"/>
    </row>
    <row r="75" spans="1:19" ht="12.75">
      <c r="A75" s="346"/>
      <c r="B75" s="277" t="s">
        <v>258</v>
      </c>
      <c r="C75" s="222">
        <v>14565</v>
      </c>
      <c r="D75" s="223">
        <v>14526</v>
      </c>
      <c r="E75" s="350"/>
      <c r="F75" s="238">
        <f t="shared" si="1"/>
        <v>910</v>
      </c>
      <c r="G75" s="220">
        <v>0</v>
      </c>
      <c r="H75" s="220">
        <f t="shared" si="11"/>
        <v>910</v>
      </c>
      <c r="I75" s="220">
        <f t="shared" si="10"/>
        <v>15436</v>
      </c>
      <c r="J75" s="58" t="s">
        <v>158</v>
      </c>
      <c r="K75" s="286">
        <f t="shared" si="2"/>
        <v>0.05980089255063509</v>
      </c>
      <c r="L75" s="16">
        <f t="shared" si="3"/>
        <v>7718</v>
      </c>
      <c r="O75" s="206">
        <f t="shared" si="12"/>
        <v>643.1666666666666</v>
      </c>
      <c r="P75" s="16"/>
      <c r="S75" s="205"/>
    </row>
    <row r="76" spans="1:19" ht="12.75">
      <c r="A76" s="346"/>
      <c r="B76" s="277" t="s">
        <v>257</v>
      </c>
      <c r="C76" s="222">
        <v>23909</v>
      </c>
      <c r="D76" s="223">
        <v>24134</v>
      </c>
      <c r="E76" s="350"/>
      <c r="F76" s="238">
        <f t="shared" si="1"/>
        <v>910</v>
      </c>
      <c r="G76" s="220">
        <v>0</v>
      </c>
      <c r="H76" s="220">
        <f t="shared" si="11"/>
        <v>910</v>
      </c>
      <c r="I76" s="220">
        <f t="shared" si="10"/>
        <v>25044</v>
      </c>
      <c r="J76" s="58" t="s">
        <v>141</v>
      </c>
      <c r="K76" s="286">
        <f t="shared" si="2"/>
        <v>0.0474716633903551</v>
      </c>
      <c r="L76" s="16">
        <f t="shared" si="3"/>
        <v>12522</v>
      </c>
      <c r="O76" s="206">
        <f t="shared" si="12"/>
        <v>1043.5</v>
      </c>
      <c r="P76" s="16"/>
      <c r="S76" s="205"/>
    </row>
    <row r="77" spans="1:19" ht="12.75">
      <c r="A77" s="346"/>
      <c r="B77" s="277" t="s">
        <v>256</v>
      </c>
      <c r="C77" s="222">
        <v>45849</v>
      </c>
      <c r="D77" s="223">
        <v>48268</v>
      </c>
      <c r="E77" s="350"/>
      <c r="F77" s="238">
        <f t="shared" si="1"/>
        <v>910</v>
      </c>
      <c r="G77" s="220">
        <v>0</v>
      </c>
      <c r="H77" s="220">
        <f t="shared" si="11"/>
        <v>910</v>
      </c>
      <c r="I77" s="220">
        <f t="shared" si="10"/>
        <v>49178</v>
      </c>
      <c r="J77" s="58" t="s">
        <v>141</v>
      </c>
      <c r="K77" s="286">
        <f t="shared" si="2"/>
        <v>0.07260790856943444</v>
      </c>
      <c r="L77" s="16">
        <f t="shared" si="3"/>
        <v>24589</v>
      </c>
      <c r="O77" s="206">
        <f t="shared" si="12"/>
        <v>2049.0833333333335</v>
      </c>
      <c r="P77" s="16"/>
      <c r="S77" s="205"/>
    </row>
    <row r="78" spans="1:19" ht="12.75">
      <c r="A78" s="346"/>
      <c r="B78" s="277" t="s">
        <v>255</v>
      </c>
      <c r="C78" s="222">
        <v>15591</v>
      </c>
      <c r="D78" s="223">
        <v>15000</v>
      </c>
      <c r="E78" s="350"/>
      <c r="F78" s="238">
        <f t="shared" si="1"/>
        <v>910</v>
      </c>
      <c r="G78" s="220">
        <v>0</v>
      </c>
      <c r="H78" s="220">
        <f t="shared" si="11"/>
        <v>910</v>
      </c>
      <c r="I78" s="220">
        <f t="shared" si="10"/>
        <v>15910</v>
      </c>
      <c r="J78" s="58" t="s">
        <v>158</v>
      </c>
      <c r="K78" s="286">
        <f t="shared" si="2"/>
        <v>0.020460522096081072</v>
      </c>
      <c r="L78" s="16">
        <f t="shared" si="3"/>
        <v>7955</v>
      </c>
      <c r="O78" s="206">
        <f t="shared" si="12"/>
        <v>662.9166666666666</v>
      </c>
      <c r="P78" s="16"/>
      <c r="S78" s="205"/>
    </row>
    <row r="79" spans="1:19" ht="12.75">
      <c r="A79" s="346"/>
      <c r="B79" s="277" t="s">
        <v>254</v>
      </c>
      <c r="C79" s="222">
        <v>29629</v>
      </c>
      <c r="D79" s="223">
        <v>30000</v>
      </c>
      <c r="E79" s="350"/>
      <c r="F79" s="238">
        <f t="shared" si="1"/>
        <v>910</v>
      </c>
      <c r="G79" s="220">
        <v>0</v>
      </c>
      <c r="H79" s="220">
        <f t="shared" si="11"/>
        <v>910</v>
      </c>
      <c r="I79" s="220">
        <f t="shared" si="10"/>
        <v>30910</v>
      </c>
      <c r="J79" s="58" t="s">
        <v>158</v>
      </c>
      <c r="K79" s="286">
        <f t="shared" si="2"/>
        <v>0.043234668736710655</v>
      </c>
      <c r="L79" s="16">
        <f t="shared" si="3"/>
        <v>15455</v>
      </c>
      <c r="O79" s="206">
        <f t="shared" si="12"/>
        <v>1287.9166666666667</v>
      </c>
      <c r="P79" s="16"/>
      <c r="S79" s="205"/>
    </row>
    <row r="80" spans="1:19" ht="13.5">
      <c r="A80" s="346"/>
      <c r="B80" s="277" t="s">
        <v>472</v>
      </c>
      <c r="C80" s="222">
        <v>6861</v>
      </c>
      <c r="D80" s="223">
        <f>E80*12*2</f>
        <v>6096</v>
      </c>
      <c r="E80" s="220">
        <v>254</v>
      </c>
      <c r="F80" s="238">
        <f t="shared" si="1"/>
        <v>910</v>
      </c>
      <c r="G80" s="220">
        <v>0</v>
      </c>
      <c r="H80" s="220">
        <f t="shared" si="11"/>
        <v>910</v>
      </c>
      <c r="I80" s="220">
        <f t="shared" si="10"/>
        <v>7006</v>
      </c>
      <c r="J80" s="58" t="s">
        <v>127</v>
      </c>
      <c r="K80" s="286">
        <f t="shared" si="2"/>
        <v>0.021133945488995772</v>
      </c>
      <c r="L80" s="16">
        <f t="shared" si="3"/>
        <v>3503</v>
      </c>
      <c r="O80" s="206">
        <f>I80/30</f>
        <v>233.53333333333333</v>
      </c>
      <c r="P80" s="16"/>
      <c r="S80" s="205"/>
    </row>
    <row r="81" spans="1:19" ht="13.5">
      <c r="A81" s="346"/>
      <c r="B81" s="277" t="s">
        <v>473</v>
      </c>
      <c r="C81" s="222">
        <v>15597</v>
      </c>
      <c r="D81" s="223">
        <f>E81*12*2</f>
        <v>15168</v>
      </c>
      <c r="E81" s="220">
        <v>632</v>
      </c>
      <c r="F81" s="238">
        <f t="shared" si="1"/>
        <v>910</v>
      </c>
      <c r="G81" s="220">
        <v>0</v>
      </c>
      <c r="H81" s="220">
        <f t="shared" si="11"/>
        <v>910</v>
      </c>
      <c r="I81" s="220">
        <f t="shared" si="10"/>
        <v>16078</v>
      </c>
      <c r="J81" s="58" t="s">
        <v>127</v>
      </c>
      <c r="K81" s="286">
        <f t="shared" si="2"/>
        <v>0.030839263961018146</v>
      </c>
      <c r="L81" s="16">
        <f t="shared" si="3"/>
        <v>8039</v>
      </c>
      <c r="O81" s="206">
        <f>I81/30</f>
        <v>535.9333333333333</v>
      </c>
      <c r="P81" s="16"/>
      <c r="S81" s="205"/>
    </row>
    <row r="82" spans="1:19" ht="13.5">
      <c r="A82" s="346"/>
      <c r="B82" s="277" t="s">
        <v>474</v>
      </c>
      <c r="C82" s="222">
        <v>7341</v>
      </c>
      <c r="D82" s="223">
        <f>E82*9*2</f>
        <v>6588</v>
      </c>
      <c r="E82" s="220">
        <v>366</v>
      </c>
      <c r="F82" s="238">
        <f>G82+H82</f>
        <v>910</v>
      </c>
      <c r="G82" s="220">
        <v>0</v>
      </c>
      <c r="H82" s="220">
        <f t="shared" si="11"/>
        <v>910</v>
      </c>
      <c r="I82" s="220">
        <f>D82+F82</f>
        <v>7498</v>
      </c>
      <c r="J82" s="58" t="s">
        <v>127</v>
      </c>
      <c r="K82" s="286">
        <f>((I82-C82)/C82)</f>
        <v>0.021386732052853834</v>
      </c>
      <c r="L82" s="46">
        <f>I82/2</f>
        <v>3749</v>
      </c>
      <c r="M82" s="20"/>
      <c r="N82" s="20"/>
      <c r="O82" s="206">
        <f>I82/12</f>
        <v>624.8333333333334</v>
      </c>
      <c r="P82" s="16"/>
      <c r="S82" s="205"/>
    </row>
    <row r="83" spans="1:19" ht="13.5">
      <c r="A83" s="346"/>
      <c r="B83" s="277" t="s">
        <v>475</v>
      </c>
      <c r="C83" s="222">
        <v>14613</v>
      </c>
      <c r="D83" s="223">
        <f>E83*9*2</f>
        <v>14148</v>
      </c>
      <c r="E83" s="220">
        <v>786</v>
      </c>
      <c r="F83" s="238">
        <f>G83+H83</f>
        <v>910</v>
      </c>
      <c r="G83" s="220">
        <v>0</v>
      </c>
      <c r="H83" s="220">
        <f t="shared" si="11"/>
        <v>910</v>
      </c>
      <c r="I83" s="220">
        <f>D83+F83</f>
        <v>15058</v>
      </c>
      <c r="J83" s="58" t="s">
        <v>127</v>
      </c>
      <c r="K83" s="286">
        <f>((I83-C83)/C83)</f>
        <v>0.03045233696024088</v>
      </c>
      <c r="L83" s="46"/>
      <c r="M83" s="20"/>
      <c r="N83" s="20"/>
      <c r="O83" s="206"/>
      <c r="P83" s="16"/>
      <c r="S83" s="205"/>
    </row>
    <row r="84" spans="1:19" ht="12.75">
      <c r="A84" s="346"/>
      <c r="B84" s="277" t="s">
        <v>425</v>
      </c>
      <c r="C84" s="222">
        <v>19005</v>
      </c>
      <c r="D84" s="223">
        <v>18000</v>
      </c>
      <c r="E84" s="350"/>
      <c r="F84" s="238">
        <f>G84+H84</f>
        <v>910</v>
      </c>
      <c r="G84" s="220">
        <v>0</v>
      </c>
      <c r="H84" s="220">
        <f t="shared" si="11"/>
        <v>910</v>
      </c>
      <c r="I84" s="220">
        <f>D84+F84</f>
        <v>18910</v>
      </c>
      <c r="J84" s="58" t="s">
        <v>141</v>
      </c>
      <c r="K84" s="286" t="s">
        <v>426</v>
      </c>
      <c r="L84" s="46"/>
      <c r="M84" s="20"/>
      <c r="N84" s="20"/>
      <c r="O84" s="206"/>
      <c r="P84" s="16"/>
      <c r="S84" s="205"/>
    </row>
    <row r="85" spans="1:19" ht="12.75">
      <c r="A85" s="346"/>
      <c r="B85" s="277" t="s">
        <v>424</v>
      </c>
      <c r="C85" s="272">
        <v>31005</v>
      </c>
      <c r="D85" s="223">
        <v>30000</v>
      </c>
      <c r="E85" s="351"/>
      <c r="F85" s="238">
        <f>G85+H85</f>
        <v>910</v>
      </c>
      <c r="G85" s="220">
        <v>0</v>
      </c>
      <c r="H85" s="220">
        <f t="shared" si="11"/>
        <v>910</v>
      </c>
      <c r="I85" s="220">
        <f>D85+F85</f>
        <v>30910</v>
      </c>
      <c r="J85" s="365" t="s">
        <v>141</v>
      </c>
      <c r="K85" s="288" t="s">
        <v>426</v>
      </c>
      <c r="L85" s="16">
        <f>I83/2</f>
        <v>7529</v>
      </c>
      <c r="O85" s="206">
        <f>I83/12</f>
        <v>1254.8333333333333</v>
      </c>
      <c r="P85" s="16"/>
      <c r="S85" s="205"/>
    </row>
    <row r="86" spans="1:22" ht="12.75">
      <c r="A86" s="348" t="s">
        <v>7</v>
      </c>
      <c r="B86" s="279" t="s">
        <v>11</v>
      </c>
      <c r="C86" s="240">
        <v>5753.5</v>
      </c>
      <c r="D86" s="228">
        <f>E86*15*2</f>
        <v>4440</v>
      </c>
      <c r="E86" s="372">
        <v>148</v>
      </c>
      <c r="F86" s="373">
        <f t="shared" si="1"/>
        <v>1516</v>
      </c>
      <c r="G86" s="372">
        <f>'Notes-4yr'!C158</f>
        <v>555</v>
      </c>
      <c r="H86" s="372">
        <f>'Notes-4yr'!C163</f>
        <v>961</v>
      </c>
      <c r="I86" s="372">
        <f t="shared" si="10"/>
        <v>5956</v>
      </c>
      <c r="J86" s="374" t="s">
        <v>127</v>
      </c>
      <c r="K86" s="289">
        <f t="shared" si="2"/>
        <v>0.035195967671851916</v>
      </c>
      <c r="L86" s="241">
        <f t="shared" si="3"/>
        <v>2978</v>
      </c>
      <c r="M86" s="242"/>
      <c r="N86" s="242"/>
      <c r="O86" s="243">
        <f>I86/30</f>
        <v>198.53333333333333</v>
      </c>
      <c r="P86" s="16"/>
      <c r="S86" s="205"/>
      <c r="U86" s="205"/>
      <c r="V86" s="306"/>
    </row>
    <row r="87" spans="1:19" ht="12.75">
      <c r="A87" s="349"/>
      <c r="B87" s="277" t="s">
        <v>38</v>
      </c>
      <c r="C87" s="222">
        <v>11423.5</v>
      </c>
      <c r="D87" s="223">
        <f>E87*15*2</f>
        <v>10110</v>
      </c>
      <c r="E87" s="220">
        <v>337</v>
      </c>
      <c r="F87" s="238">
        <f t="shared" si="1"/>
        <v>1516</v>
      </c>
      <c r="G87" s="220">
        <f>'Notes-4yr'!C158</f>
        <v>555</v>
      </c>
      <c r="H87" s="220">
        <f>'Notes-4yr'!C163</f>
        <v>961</v>
      </c>
      <c r="I87" s="220">
        <f t="shared" si="10"/>
        <v>11626</v>
      </c>
      <c r="J87" s="58" t="s">
        <v>127</v>
      </c>
      <c r="K87" s="286">
        <f t="shared" si="2"/>
        <v>0.017726616185932506</v>
      </c>
      <c r="L87" s="16">
        <f t="shared" si="3"/>
        <v>5813</v>
      </c>
      <c r="O87" s="206">
        <f>I87/30</f>
        <v>387.53333333333336</v>
      </c>
      <c r="P87" s="16"/>
      <c r="S87" s="205"/>
    </row>
    <row r="88" spans="1:19" ht="12.75">
      <c r="A88" s="344"/>
      <c r="B88" s="277" t="s">
        <v>36</v>
      </c>
      <c r="C88" s="222">
        <v>5578</v>
      </c>
      <c r="D88" s="223">
        <f>E88*12*2</f>
        <v>4488</v>
      </c>
      <c r="E88" s="220">
        <v>187</v>
      </c>
      <c r="F88" s="238">
        <f t="shared" si="1"/>
        <v>1252</v>
      </c>
      <c r="G88" s="220">
        <f>'Notes-4yr'!D158</f>
        <v>444</v>
      </c>
      <c r="H88" s="220">
        <f>'Notes-4yr'!D163</f>
        <v>808</v>
      </c>
      <c r="I88" s="220">
        <f t="shared" si="10"/>
        <v>5740</v>
      </c>
      <c r="J88" s="58" t="s">
        <v>127</v>
      </c>
      <c r="K88" s="286">
        <f t="shared" si="2"/>
        <v>0.029042667622803872</v>
      </c>
      <c r="L88" s="16">
        <f t="shared" si="3"/>
        <v>2870</v>
      </c>
      <c r="O88" s="206">
        <f>I88/24</f>
        <v>239.16666666666666</v>
      </c>
      <c r="P88" s="16"/>
      <c r="S88" s="205"/>
    </row>
    <row r="89" spans="1:19" ht="12.75">
      <c r="A89" s="345"/>
      <c r="B89" s="278" t="s">
        <v>39</v>
      </c>
      <c r="C89" s="224">
        <v>11290</v>
      </c>
      <c r="D89" s="225">
        <f>E89*12*2</f>
        <v>10200</v>
      </c>
      <c r="E89" s="221">
        <v>425</v>
      </c>
      <c r="F89" s="239">
        <f t="shared" si="1"/>
        <v>1252</v>
      </c>
      <c r="G89" s="221">
        <f>'Notes-4yr'!D158</f>
        <v>444</v>
      </c>
      <c r="H89" s="221">
        <f>'Notes-4yr'!D163</f>
        <v>808</v>
      </c>
      <c r="I89" s="221">
        <f t="shared" si="10"/>
        <v>11452</v>
      </c>
      <c r="J89" s="59" t="s">
        <v>127</v>
      </c>
      <c r="K89" s="287">
        <f t="shared" si="2"/>
        <v>0.014348981399468556</v>
      </c>
      <c r="L89" s="16">
        <f t="shared" si="3"/>
        <v>5726</v>
      </c>
      <c r="O89" s="207">
        <f>I89/24</f>
        <v>477.1666666666667</v>
      </c>
      <c r="P89" s="16"/>
      <c r="S89" s="205"/>
    </row>
    <row r="90" spans="1:22" ht="12.75">
      <c r="A90" s="343" t="s">
        <v>8</v>
      </c>
      <c r="B90" s="277" t="s">
        <v>11</v>
      </c>
      <c r="C90" s="222">
        <v>7595.4</v>
      </c>
      <c r="D90" s="223">
        <f>E90*15*2</f>
        <v>5917.5</v>
      </c>
      <c r="E90" s="238">
        <v>197.25</v>
      </c>
      <c r="F90" s="238">
        <f t="shared" si="1"/>
        <v>1971.3</v>
      </c>
      <c r="G90" s="220">
        <f>'Notes-4yr'!C174</f>
        <v>1095.1</v>
      </c>
      <c r="H90" s="220">
        <f>'Notes-4yr'!C182</f>
        <v>876.2</v>
      </c>
      <c r="I90" s="220">
        <f>D90+F90</f>
        <v>7888.8</v>
      </c>
      <c r="J90" s="58" t="s">
        <v>127</v>
      </c>
      <c r="K90" s="286">
        <f t="shared" si="2"/>
        <v>0.03862864365273726</v>
      </c>
      <c r="L90" s="16">
        <f t="shared" si="3"/>
        <v>3944.4</v>
      </c>
      <c r="O90" s="206">
        <f>I90/30</f>
        <v>262.96</v>
      </c>
      <c r="P90" s="16"/>
      <c r="S90" s="205"/>
      <c r="U90" s="205"/>
      <c r="V90" s="306"/>
    </row>
    <row r="91" spans="1:19" ht="12.75">
      <c r="A91" s="277"/>
      <c r="B91" s="277" t="s">
        <v>38</v>
      </c>
      <c r="C91" s="222">
        <v>13340.4</v>
      </c>
      <c r="D91" s="223">
        <f>E91*15*2</f>
        <v>11835</v>
      </c>
      <c r="E91" s="220">
        <v>394.5</v>
      </c>
      <c r="F91" s="238">
        <f t="shared" si="1"/>
        <v>1971.3</v>
      </c>
      <c r="G91" s="220">
        <f>'Notes-4yr'!C174</f>
        <v>1095.1</v>
      </c>
      <c r="H91" s="220">
        <f>'Notes-4yr'!C182</f>
        <v>876.2</v>
      </c>
      <c r="I91" s="220">
        <f t="shared" si="10"/>
        <v>13806.3</v>
      </c>
      <c r="J91" s="58" t="s">
        <v>127</v>
      </c>
      <c r="K91" s="286">
        <f t="shared" si="2"/>
        <v>0.034923990285148844</v>
      </c>
      <c r="L91" s="16">
        <f t="shared" si="3"/>
        <v>6903.15</v>
      </c>
      <c r="O91" s="206">
        <f>I91/30</f>
        <v>460.21</v>
      </c>
      <c r="P91" s="16"/>
      <c r="S91" s="205"/>
    </row>
    <row r="92" spans="1:19" ht="12.75">
      <c r="A92" s="277"/>
      <c r="B92" s="277" t="s">
        <v>36</v>
      </c>
      <c r="C92" s="222">
        <v>7178.76</v>
      </c>
      <c r="D92" s="223">
        <f>E92*12*2</f>
        <v>5832.96</v>
      </c>
      <c r="E92" s="238">
        <v>243.04</v>
      </c>
      <c r="F92" s="238">
        <f t="shared" si="1"/>
        <v>1612.44</v>
      </c>
      <c r="G92" s="220">
        <f>'Notes-4yr'!D174</f>
        <v>912.88</v>
      </c>
      <c r="H92" s="220">
        <f>'Notes-4yr'!D182</f>
        <v>699.56</v>
      </c>
      <c r="I92" s="220">
        <f t="shared" si="10"/>
        <v>7445.4</v>
      </c>
      <c r="J92" s="58" t="s">
        <v>127</v>
      </c>
      <c r="K92" s="286">
        <f t="shared" si="2"/>
        <v>0.0371429049027965</v>
      </c>
      <c r="L92" s="16">
        <f t="shared" si="3"/>
        <v>3722.7</v>
      </c>
      <c r="M92" s="1">
        <f>I92-(E92*4)</f>
        <v>6473.24</v>
      </c>
      <c r="N92" s="1">
        <f>E92*20+'Notes-4yr'!$K$179</f>
        <v>5948.200000000001</v>
      </c>
      <c r="O92" s="206">
        <f>I92/24</f>
        <v>310.22499999999997</v>
      </c>
      <c r="P92" s="16"/>
      <c r="S92" s="205"/>
    </row>
    <row r="93" spans="1:19" ht="13.5" thickBot="1">
      <c r="A93" s="280"/>
      <c r="B93" s="280" t="s">
        <v>39</v>
      </c>
      <c r="C93" s="281">
        <v>12841.8</v>
      </c>
      <c r="D93" s="355">
        <f>E93*12*2</f>
        <v>11665.92</v>
      </c>
      <c r="E93" s="356">
        <v>486.08</v>
      </c>
      <c r="F93" s="356">
        <f t="shared" si="1"/>
        <v>1612.44</v>
      </c>
      <c r="G93" s="357">
        <f>'Notes-4yr'!D174</f>
        <v>912.88</v>
      </c>
      <c r="H93" s="357">
        <f>'Notes-4yr'!D182</f>
        <v>699.56</v>
      </c>
      <c r="I93" s="357">
        <f t="shared" si="10"/>
        <v>13278.36</v>
      </c>
      <c r="J93" s="358" t="s">
        <v>127</v>
      </c>
      <c r="K93" s="290">
        <f t="shared" si="2"/>
        <v>0.03399523431294689</v>
      </c>
      <c r="L93" s="16">
        <f t="shared" si="3"/>
        <v>6639.18</v>
      </c>
      <c r="M93" s="1">
        <f>I93-(E93*4)</f>
        <v>11334.04</v>
      </c>
      <c r="N93" s="1">
        <f>E93*20+'Notes-4yr'!$K$179</f>
        <v>10809</v>
      </c>
      <c r="O93" s="209">
        <f>I93/24</f>
        <v>553.265</v>
      </c>
      <c r="P93" s="16"/>
      <c r="S93" s="205"/>
    </row>
    <row r="94" spans="1:10" ht="15">
      <c r="A94" s="73" t="s">
        <v>269</v>
      </c>
      <c r="C94" s="15"/>
      <c r="D94" s="15"/>
      <c r="I94" s="15"/>
      <c r="J94" s="15"/>
    </row>
    <row r="95" spans="1:10" ht="12.75">
      <c r="A95" s="18" t="s">
        <v>240</v>
      </c>
      <c r="C95" s="15"/>
      <c r="D95" s="15"/>
      <c r="I95" s="15"/>
      <c r="J95" s="15"/>
    </row>
    <row r="96" spans="1:22" ht="12.75">
      <c r="A96" s="18" t="s">
        <v>51</v>
      </c>
      <c r="C96" s="15"/>
      <c r="D96" s="15"/>
      <c r="I96" s="15"/>
      <c r="J96" s="15"/>
      <c r="T96" s="205"/>
      <c r="U96" s="205"/>
      <c r="V96" s="306"/>
    </row>
    <row r="97" spans="1:10" ht="12.75">
      <c r="A97" s="18" t="s">
        <v>52</v>
      </c>
      <c r="C97" s="15"/>
      <c r="D97" s="15"/>
      <c r="I97" s="15"/>
      <c r="J97" s="15"/>
    </row>
    <row r="98" spans="1:10" ht="12.75">
      <c r="A98" s="18" t="s">
        <v>76</v>
      </c>
      <c r="C98" s="15"/>
      <c r="D98" s="15"/>
      <c r="I98" s="15"/>
      <c r="J98" s="15"/>
    </row>
    <row r="99" spans="1:10" ht="12.75">
      <c r="A99" s="14" t="s">
        <v>77</v>
      </c>
      <c r="C99" s="15"/>
      <c r="D99" s="15"/>
      <c r="I99" s="15"/>
      <c r="J99" s="15"/>
    </row>
    <row r="100" spans="1:22" ht="12.75">
      <c r="A100" s="18" t="s">
        <v>75</v>
      </c>
      <c r="C100" s="15"/>
      <c r="D100" s="15"/>
      <c r="I100" s="15"/>
      <c r="J100" s="15"/>
      <c r="V100" s="307"/>
    </row>
    <row r="101" spans="1:10" ht="6.75" customHeight="1">
      <c r="A101" s="18"/>
      <c r="C101" s="15"/>
      <c r="D101" s="15"/>
      <c r="I101" s="15"/>
      <c r="J101" s="15"/>
    </row>
    <row r="102" spans="1:10" ht="12.75">
      <c r="A102" s="23" t="s">
        <v>497</v>
      </c>
      <c r="C102" s="15"/>
      <c r="D102" s="15"/>
      <c r="I102" s="15"/>
      <c r="J102" s="15"/>
    </row>
    <row r="103" spans="1:10" ht="12.75">
      <c r="A103" s="236" t="s">
        <v>368</v>
      </c>
      <c r="C103" s="15"/>
      <c r="D103" s="15"/>
      <c r="I103" s="15"/>
      <c r="J103" s="15"/>
    </row>
    <row r="104" spans="1:10" ht="12.75">
      <c r="A104" s="236"/>
      <c r="C104" s="15"/>
      <c r="D104" s="15"/>
      <c r="I104" s="15"/>
      <c r="J104" s="15"/>
    </row>
    <row r="105" spans="1:10" ht="12.75">
      <c r="A105" s="237" t="s">
        <v>496</v>
      </c>
      <c r="C105" s="15"/>
      <c r="D105" s="15"/>
      <c r="I105" s="15"/>
      <c r="J105" s="15"/>
    </row>
    <row r="106" spans="1:10" ht="12.75">
      <c r="A106" s="237"/>
      <c r="C106" s="15"/>
      <c r="D106" s="15"/>
      <c r="I106" s="15"/>
      <c r="J106" s="15"/>
    </row>
    <row r="107" ht="16.5">
      <c r="A107" s="17" t="s">
        <v>263</v>
      </c>
    </row>
    <row r="108" ht="7.5" customHeight="1">
      <c r="A108" s="17"/>
    </row>
    <row r="109" ht="16.5">
      <c r="A109" s="17" t="s">
        <v>548</v>
      </c>
    </row>
    <row r="110" spans="1:11" ht="12.75">
      <c r="A110" s="18" t="s">
        <v>489</v>
      </c>
      <c r="B110" s="23"/>
      <c r="C110" s="23"/>
      <c r="D110" s="23"/>
      <c r="E110" s="217"/>
      <c r="F110" s="217"/>
      <c r="G110" s="217"/>
      <c r="H110" s="217"/>
      <c r="I110" s="23"/>
      <c r="J110" s="23"/>
      <c r="K110" s="218"/>
    </row>
    <row r="111" ht="12.75">
      <c r="A111" s="18"/>
    </row>
    <row r="112" ht="12.75">
      <c r="A112" s="23" t="s">
        <v>488</v>
      </c>
    </row>
    <row r="113" ht="12.75">
      <c r="A113" s="23" t="s">
        <v>489</v>
      </c>
    </row>
    <row r="114" ht="6.75" customHeight="1">
      <c r="A114" s="23"/>
    </row>
    <row r="115" ht="14.25">
      <c r="A115" s="193" t="s">
        <v>370</v>
      </c>
    </row>
    <row r="116" ht="8.25" customHeight="1"/>
  </sheetData>
  <sheetProtection/>
  <mergeCells count="5">
    <mergeCell ref="D4:J4"/>
    <mergeCell ref="A1:K1"/>
    <mergeCell ref="A2:K2"/>
    <mergeCell ref="D6:F6"/>
    <mergeCell ref="D5:F5"/>
  </mergeCells>
  <printOptions horizontalCentered="1"/>
  <pageMargins left="0.7" right="0.7" top="0.75" bottom="0.75" header="0.3" footer="0.3"/>
  <pageSetup fitToHeight="0" fitToWidth="1" horizontalDpi="600" verticalDpi="600" orientation="portrait" scale="68" r:id="rId3"/>
  <rowBreaks count="1" manualBreakCount="1">
    <brk id="64" max="14" man="1"/>
  </rowBreaks>
  <colBreaks count="1" manualBreakCount="1">
    <brk id="11" max="110" man="1"/>
  </colBreaks>
  <ignoredErrors>
    <ignoredError sqref="H15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109"/>
  <sheetViews>
    <sheetView tabSelected="1" showOutlineSymbols="0" zoomScaleSheetLayoutView="100" zoomScalePageLayoutView="0" workbookViewId="0" topLeftCell="A1">
      <selection activeCell="H49" sqref="H49"/>
    </sheetView>
  </sheetViews>
  <sheetFormatPr defaultColWidth="8.7109375" defaultRowHeight="12.75"/>
  <cols>
    <col min="1" max="1" width="9.7109375" style="30" customWidth="1"/>
    <col min="2" max="6" width="7.57421875" style="30" hidden="1" customWidth="1"/>
    <col min="7" max="13" width="9.28125" style="30" hidden="1" customWidth="1"/>
    <col min="14" max="14" width="9.28125" style="33" hidden="1" customWidth="1"/>
    <col min="15" max="24" width="9.28125" style="33" customWidth="1"/>
    <col min="25" max="25" width="8.00390625" style="33" bestFit="1" customWidth="1"/>
    <col min="26" max="26" width="6.140625" style="33" bestFit="1" customWidth="1"/>
    <col min="27" max="30" width="6.00390625" style="33" bestFit="1" customWidth="1"/>
    <col min="31" max="31" width="6.57421875" style="33" bestFit="1" customWidth="1"/>
    <col min="32" max="39" width="6.00390625" style="33" bestFit="1" customWidth="1"/>
    <col min="40" max="41" width="6.140625" style="33" bestFit="1" customWidth="1"/>
    <col min="42" max="42" width="6.28125" style="33" bestFit="1" customWidth="1"/>
    <col min="43" max="43" width="6.00390625" style="33" bestFit="1" customWidth="1"/>
    <col min="44" max="16384" width="8.7109375" style="30" customWidth="1"/>
  </cols>
  <sheetData>
    <row r="1" spans="1:67" ht="15.75">
      <c r="A1" s="28" t="s">
        <v>115</v>
      </c>
      <c r="B1" s="29"/>
      <c r="C1" s="29"/>
      <c r="D1" s="29"/>
      <c r="E1" s="29"/>
      <c r="F1" s="29"/>
      <c r="G1" s="29"/>
      <c r="H1" s="29"/>
      <c r="I1" s="29"/>
      <c r="J1" s="2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446" t="s">
        <v>110</v>
      </c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</row>
    <row r="2" spans="1:67" ht="12.75">
      <c r="A2" s="29" t="s">
        <v>516</v>
      </c>
      <c r="B2" s="29"/>
      <c r="C2" s="29"/>
      <c r="D2" s="29"/>
      <c r="E2" s="29"/>
      <c r="F2" s="29"/>
      <c r="G2" s="29"/>
      <c r="H2" s="29"/>
      <c r="I2" s="29"/>
      <c r="J2" s="29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446" t="s">
        <v>111</v>
      </c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446"/>
      <c r="BE2" s="446"/>
      <c r="BF2" s="446"/>
      <c r="BG2" s="446"/>
      <c r="BH2" s="446"/>
      <c r="BI2" s="446"/>
      <c r="BJ2" s="446"/>
      <c r="BK2" s="446"/>
      <c r="BL2" s="446"/>
      <c r="BM2" s="446"/>
      <c r="BN2" s="446"/>
      <c r="BO2" s="446"/>
    </row>
    <row r="3" spans="1:67" ht="5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446" t="s">
        <v>112</v>
      </c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446"/>
      <c r="BD3" s="446"/>
      <c r="BE3" s="446"/>
      <c r="BF3" s="446"/>
      <c r="BG3" s="446"/>
      <c r="BH3" s="446"/>
      <c r="BI3" s="446"/>
      <c r="BJ3" s="446"/>
      <c r="BK3" s="446"/>
      <c r="BL3" s="446"/>
      <c r="BM3" s="446"/>
      <c r="BN3" s="446"/>
      <c r="BO3" s="446"/>
    </row>
    <row r="4" ht="13.5" thickBot="1">
      <c r="A4" s="36" t="s">
        <v>94</v>
      </c>
    </row>
    <row r="5" spans="1:24" s="33" customFormat="1" ht="12">
      <c r="A5" s="327" t="s">
        <v>32</v>
      </c>
      <c r="B5" s="328" t="s">
        <v>97</v>
      </c>
      <c r="C5" s="328" t="s">
        <v>98</v>
      </c>
      <c r="D5" s="328" t="s">
        <v>99</v>
      </c>
      <c r="E5" s="328" t="s">
        <v>100</v>
      </c>
      <c r="F5" s="328" t="s">
        <v>101</v>
      </c>
      <c r="G5" s="328" t="s">
        <v>102</v>
      </c>
      <c r="H5" s="184" t="s">
        <v>103</v>
      </c>
      <c r="I5" s="184" t="s">
        <v>104</v>
      </c>
      <c r="J5" s="184" t="s">
        <v>105</v>
      </c>
      <c r="K5" s="184" t="s">
        <v>106</v>
      </c>
      <c r="L5" s="184" t="s">
        <v>95</v>
      </c>
      <c r="M5" s="184" t="s">
        <v>92</v>
      </c>
      <c r="N5" s="184" t="s">
        <v>93</v>
      </c>
      <c r="O5" s="184" t="s">
        <v>270</v>
      </c>
      <c r="P5" s="184" t="s">
        <v>304</v>
      </c>
      <c r="Q5" s="184" t="s">
        <v>308</v>
      </c>
      <c r="R5" s="184" t="s">
        <v>328</v>
      </c>
      <c r="S5" s="184" t="s">
        <v>341</v>
      </c>
      <c r="T5" s="184" t="s">
        <v>357</v>
      </c>
      <c r="U5" s="184" t="s">
        <v>373</v>
      </c>
      <c r="V5" s="184" t="s">
        <v>391</v>
      </c>
      <c r="W5" s="184" t="s">
        <v>442</v>
      </c>
      <c r="X5" s="212" t="s">
        <v>513</v>
      </c>
    </row>
    <row r="6" spans="1:43" ht="12.75">
      <c r="A6" s="323" t="s">
        <v>121</v>
      </c>
      <c r="B6" s="163">
        <v>720</v>
      </c>
      <c r="C6" s="163">
        <v>798</v>
      </c>
      <c r="D6" s="163">
        <v>792</v>
      </c>
      <c r="E6" s="163">
        <v>816</v>
      </c>
      <c r="F6" s="163">
        <v>874</v>
      </c>
      <c r="G6" s="163">
        <v>874</v>
      </c>
      <c r="H6" s="163">
        <v>874</v>
      </c>
      <c r="I6" s="163">
        <v>1162</v>
      </c>
      <c r="J6" s="163">
        <v>1186</v>
      </c>
      <c r="K6" s="163">
        <v>1292</v>
      </c>
      <c r="L6" s="163">
        <v>1364</v>
      </c>
      <c r="M6" s="163">
        <v>1790</v>
      </c>
      <c r="N6" s="163">
        <v>1870</v>
      </c>
      <c r="O6" s="163">
        <v>1930</v>
      </c>
      <c r="P6" s="33">
        <v>1960</v>
      </c>
      <c r="Q6" s="33">
        <v>1990</v>
      </c>
      <c r="R6" s="33">
        <v>2020</v>
      </c>
      <c r="S6" s="33">
        <v>2080</v>
      </c>
      <c r="T6" s="245">
        <v>2140</v>
      </c>
      <c r="U6" s="245">
        <v>2180</v>
      </c>
      <c r="V6" s="245">
        <v>2300</v>
      </c>
      <c r="W6" s="245">
        <v>2390</v>
      </c>
      <c r="X6" s="213">
        <f>'2 YR'!I8</f>
        <v>2390</v>
      </c>
      <c r="AQ6" s="30"/>
    </row>
    <row r="7" spans="1:43" ht="12.75">
      <c r="A7" s="323" t="s">
        <v>10</v>
      </c>
      <c r="B7" s="163">
        <v>984</v>
      </c>
      <c r="C7" s="163">
        <v>1080</v>
      </c>
      <c r="D7" s="163">
        <v>1140</v>
      </c>
      <c r="E7" s="163">
        <v>1140</v>
      </c>
      <c r="F7" s="163">
        <v>1150</v>
      </c>
      <c r="G7" s="163">
        <v>1150</v>
      </c>
      <c r="H7" s="163">
        <v>1140</v>
      </c>
      <c r="I7" s="163">
        <v>1170</v>
      </c>
      <c r="J7" s="163">
        <v>1290</v>
      </c>
      <c r="K7" s="163">
        <v>1650</v>
      </c>
      <c r="L7" s="163">
        <v>1830</v>
      </c>
      <c r="M7" s="163">
        <v>2040</v>
      </c>
      <c r="N7" s="163">
        <v>2160</v>
      </c>
      <c r="O7" s="163">
        <v>2280</v>
      </c>
      <c r="P7" s="33">
        <v>2460</v>
      </c>
      <c r="Q7" s="33">
        <v>2550</v>
      </c>
      <c r="R7" s="33">
        <v>2670</v>
      </c>
      <c r="S7" s="33">
        <v>2670</v>
      </c>
      <c r="T7" s="245">
        <v>2790</v>
      </c>
      <c r="U7" s="245">
        <v>2850</v>
      </c>
      <c r="V7" s="245">
        <v>3060</v>
      </c>
      <c r="W7" s="245">
        <v>3120</v>
      </c>
      <c r="X7" s="213">
        <f>'2 YR'!I11</f>
        <v>3270</v>
      </c>
      <c r="AQ7" s="30"/>
    </row>
    <row r="8" spans="1:43" ht="12.75">
      <c r="A8" s="323" t="s">
        <v>14</v>
      </c>
      <c r="B8" s="382"/>
      <c r="C8" s="163"/>
      <c r="D8" s="163"/>
      <c r="E8" s="163"/>
      <c r="F8" s="163">
        <v>1090</v>
      </c>
      <c r="G8" s="163">
        <v>1138</v>
      </c>
      <c r="H8" s="163">
        <v>1138</v>
      </c>
      <c r="I8" s="163">
        <v>1138</v>
      </c>
      <c r="J8" s="163">
        <v>1306</v>
      </c>
      <c r="K8" s="163">
        <v>1740</v>
      </c>
      <c r="L8" s="163">
        <v>1920</v>
      </c>
      <c r="M8" s="163">
        <v>2040</v>
      </c>
      <c r="N8" s="163">
        <v>2160</v>
      </c>
      <c r="O8" s="163">
        <v>2280</v>
      </c>
      <c r="P8" s="33">
        <v>2370</v>
      </c>
      <c r="Q8" s="33">
        <v>2370</v>
      </c>
      <c r="R8" s="33">
        <v>2760</v>
      </c>
      <c r="S8" s="33">
        <v>2760</v>
      </c>
      <c r="T8" s="245">
        <v>2910</v>
      </c>
      <c r="U8" s="245">
        <v>3030</v>
      </c>
      <c r="V8" s="245">
        <v>3150</v>
      </c>
      <c r="W8" s="245">
        <v>3240</v>
      </c>
      <c r="X8" s="213">
        <f>'2 YR'!I15</f>
        <v>3330</v>
      </c>
      <c r="AQ8" s="30"/>
    </row>
    <row r="9" spans="1:43" ht="12.75">
      <c r="A9" s="323" t="s">
        <v>13</v>
      </c>
      <c r="B9" s="382"/>
      <c r="C9" s="163"/>
      <c r="D9" s="163"/>
      <c r="E9" s="163"/>
      <c r="F9" s="163"/>
      <c r="G9" s="163"/>
      <c r="H9" s="163"/>
      <c r="I9" s="163"/>
      <c r="J9" s="163">
        <v>1260</v>
      </c>
      <c r="K9" s="163">
        <v>1560</v>
      </c>
      <c r="L9" s="163">
        <v>1830</v>
      </c>
      <c r="M9" s="163">
        <v>1950</v>
      </c>
      <c r="N9" s="163">
        <v>2070</v>
      </c>
      <c r="O9" s="163">
        <v>2190</v>
      </c>
      <c r="P9" s="33">
        <v>2280</v>
      </c>
      <c r="Q9" s="33">
        <v>2340</v>
      </c>
      <c r="R9" s="33">
        <v>2400</v>
      </c>
      <c r="S9" s="33">
        <v>2400</v>
      </c>
      <c r="T9" s="245">
        <v>2550</v>
      </c>
      <c r="U9" s="245">
        <v>2700</v>
      </c>
      <c r="V9" s="245">
        <v>2850</v>
      </c>
      <c r="W9" s="245">
        <v>3000</v>
      </c>
      <c r="X9" s="213">
        <f>'2 YR'!I17</f>
        <v>3150</v>
      </c>
      <c r="AQ9" s="30"/>
    </row>
    <row r="10" spans="1:43" ht="12.75">
      <c r="A10" s="323" t="s">
        <v>79</v>
      </c>
      <c r="B10" s="382"/>
      <c r="C10" s="163">
        <v>792</v>
      </c>
      <c r="D10" s="163">
        <v>792</v>
      </c>
      <c r="E10" s="163">
        <v>1056</v>
      </c>
      <c r="F10" s="163">
        <v>912</v>
      </c>
      <c r="G10" s="163">
        <v>1128</v>
      </c>
      <c r="H10" s="163">
        <v>1128</v>
      </c>
      <c r="I10" s="163">
        <v>1008</v>
      </c>
      <c r="J10" s="163">
        <v>1418</v>
      </c>
      <c r="K10" s="163">
        <v>1850</v>
      </c>
      <c r="L10" s="163">
        <v>1890</v>
      </c>
      <c r="M10" s="163">
        <v>2070</v>
      </c>
      <c r="N10" s="163">
        <v>2070</v>
      </c>
      <c r="O10" s="163">
        <v>2070</v>
      </c>
      <c r="P10" s="33">
        <v>2070</v>
      </c>
      <c r="Q10" s="33">
        <v>2070</v>
      </c>
      <c r="R10" s="33">
        <v>2190</v>
      </c>
      <c r="S10" s="33">
        <v>2190</v>
      </c>
      <c r="T10" s="245">
        <v>2460</v>
      </c>
      <c r="U10" s="245">
        <v>2460</v>
      </c>
      <c r="V10" s="245">
        <v>2790</v>
      </c>
      <c r="W10" s="245">
        <v>2850</v>
      </c>
      <c r="X10" s="213">
        <f>'2 YR'!I19</f>
        <v>3060</v>
      </c>
      <c r="AQ10" s="30"/>
    </row>
    <row r="11" spans="1:43" ht="12.75">
      <c r="A11" s="323" t="s">
        <v>30</v>
      </c>
      <c r="B11" s="382"/>
      <c r="C11" s="163">
        <v>640</v>
      </c>
      <c r="D11" s="163">
        <v>812</v>
      </c>
      <c r="E11" s="163">
        <v>928</v>
      </c>
      <c r="F11" s="163">
        <v>928</v>
      </c>
      <c r="G11" s="163">
        <v>1176</v>
      </c>
      <c r="H11" s="163">
        <v>1244</v>
      </c>
      <c r="I11" s="163">
        <v>1274</v>
      </c>
      <c r="J11" s="163">
        <v>1274</v>
      </c>
      <c r="K11" s="163">
        <v>1274</v>
      </c>
      <c r="L11" s="163">
        <v>1424</v>
      </c>
      <c r="M11" s="163">
        <v>1546</v>
      </c>
      <c r="N11" s="163">
        <v>1636</v>
      </c>
      <c r="O11" s="163">
        <v>1846</v>
      </c>
      <c r="P11" s="33">
        <v>1920</v>
      </c>
      <c r="Q11" s="33">
        <v>1920</v>
      </c>
      <c r="R11" s="33">
        <v>1920</v>
      </c>
      <c r="S11" s="33">
        <v>2020</v>
      </c>
      <c r="T11" s="245">
        <v>2080</v>
      </c>
      <c r="U11" s="245">
        <v>2272</v>
      </c>
      <c r="V11" s="245">
        <v>2302</v>
      </c>
      <c r="W11" s="245">
        <v>2512</v>
      </c>
      <c r="X11" s="213">
        <f>'2 YR'!I21</f>
        <v>2647</v>
      </c>
      <c r="AQ11" s="30"/>
    </row>
    <row r="12" spans="1:24" ht="12.75">
      <c r="A12" s="323" t="s">
        <v>417</v>
      </c>
      <c r="B12" s="382"/>
      <c r="C12" s="163">
        <v>810</v>
      </c>
      <c r="D12" s="163">
        <v>1026</v>
      </c>
      <c r="E12" s="163">
        <v>1290</v>
      </c>
      <c r="F12" s="163">
        <v>1290</v>
      </c>
      <c r="G12" s="163">
        <v>1290</v>
      </c>
      <c r="H12" s="163">
        <v>1290</v>
      </c>
      <c r="I12" s="163">
        <v>1290</v>
      </c>
      <c r="J12" s="163">
        <v>1500</v>
      </c>
      <c r="K12" s="163">
        <v>1530</v>
      </c>
      <c r="L12" s="163">
        <v>1680</v>
      </c>
      <c r="M12" s="163">
        <v>1770</v>
      </c>
      <c r="N12" s="163">
        <v>1860</v>
      </c>
      <c r="O12" s="163">
        <v>1920</v>
      </c>
      <c r="P12" s="33">
        <v>1980</v>
      </c>
      <c r="Q12" s="33">
        <v>2040</v>
      </c>
      <c r="R12" s="33">
        <v>2130</v>
      </c>
      <c r="S12" s="33">
        <v>2252</v>
      </c>
      <c r="T12" s="245">
        <v>2312</v>
      </c>
      <c r="U12" s="245">
        <v>2402</v>
      </c>
      <c r="V12" s="245">
        <v>2507</v>
      </c>
      <c r="W12" s="245">
        <v>3182</v>
      </c>
      <c r="X12" s="213">
        <f>'2 YR'!I24</f>
        <v>3310</v>
      </c>
    </row>
    <row r="13" spans="1:43" ht="12.75">
      <c r="A13" s="323" t="s">
        <v>16</v>
      </c>
      <c r="B13" s="382">
        <v>576</v>
      </c>
      <c r="C13" s="163">
        <v>648</v>
      </c>
      <c r="D13" s="163">
        <v>792</v>
      </c>
      <c r="E13" s="163">
        <v>792</v>
      </c>
      <c r="F13" s="163">
        <v>864</v>
      </c>
      <c r="G13" s="163">
        <v>786</v>
      </c>
      <c r="H13" s="163">
        <v>768</v>
      </c>
      <c r="I13" s="163">
        <v>936</v>
      </c>
      <c r="J13" s="163">
        <v>936</v>
      </c>
      <c r="K13" s="163">
        <v>1152</v>
      </c>
      <c r="L13" s="163">
        <v>1620</v>
      </c>
      <c r="M13" s="163">
        <v>1620</v>
      </c>
      <c r="N13" s="163">
        <v>1770</v>
      </c>
      <c r="O13" s="163">
        <v>1860</v>
      </c>
      <c r="P13" s="33">
        <v>1860</v>
      </c>
      <c r="Q13" s="33">
        <v>2010</v>
      </c>
      <c r="R13" s="33">
        <v>2130</v>
      </c>
      <c r="S13" s="33">
        <v>2280</v>
      </c>
      <c r="T13" s="245">
        <v>2430</v>
      </c>
      <c r="U13" s="245">
        <v>2610</v>
      </c>
      <c r="V13" s="245">
        <v>2700</v>
      </c>
      <c r="W13" s="245">
        <v>2790</v>
      </c>
      <c r="X13" s="213">
        <f>'2 YR'!I26</f>
        <v>2880</v>
      </c>
      <c r="AQ13" s="30"/>
    </row>
    <row r="14" spans="1:43" ht="12.75">
      <c r="A14" s="323" t="s">
        <v>17</v>
      </c>
      <c r="B14" s="382"/>
      <c r="C14" s="163">
        <v>870</v>
      </c>
      <c r="D14" s="163">
        <v>720</v>
      </c>
      <c r="E14" s="163">
        <v>730</v>
      </c>
      <c r="F14" s="163">
        <v>802</v>
      </c>
      <c r="G14" s="163">
        <v>812</v>
      </c>
      <c r="H14" s="163">
        <v>802</v>
      </c>
      <c r="I14" s="163">
        <v>1086</v>
      </c>
      <c r="J14" s="163">
        <v>1086</v>
      </c>
      <c r="K14" s="163">
        <v>1500</v>
      </c>
      <c r="L14" s="163">
        <v>1590</v>
      </c>
      <c r="M14" s="163">
        <v>1590</v>
      </c>
      <c r="N14" s="163">
        <v>1800</v>
      </c>
      <c r="O14" s="163">
        <v>1950</v>
      </c>
      <c r="P14" s="33">
        <v>1950</v>
      </c>
      <c r="Q14" s="33">
        <v>2100</v>
      </c>
      <c r="R14" s="33">
        <v>2280</v>
      </c>
      <c r="S14" s="33">
        <v>2570</v>
      </c>
      <c r="T14" s="245">
        <v>2720</v>
      </c>
      <c r="U14" s="245">
        <v>3080</v>
      </c>
      <c r="V14" s="245">
        <v>3270</v>
      </c>
      <c r="W14" s="245">
        <v>3670</v>
      </c>
      <c r="X14" s="213">
        <f>'2 YR'!I29</f>
        <v>3790</v>
      </c>
      <c r="AQ14" s="30"/>
    </row>
    <row r="15" spans="1:43" ht="12.75">
      <c r="A15" s="323" t="s">
        <v>18</v>
      </c>
      <c r="B15" s="382">
        <v>696</v>
      </c>
      <c r="C15" s="163">
        <v>792</v>
      </c>
      <c r="D15" s="163">
        <v>792</v>
      </c>
      <c r="E15" s="163">
        <v>912</v>
      </c>
      <c r="F15" s="163">
        <v>912</v>
      </c>
      <c r="G15" s="163">
        <v>936</v>
      </c>
      <c r="H15" s="163">
        <v>936</v>
      </c>
      <c r="I15" s="163">
        <v>1248</v>
      </c>
      <c r="J15" s="163">
        <v>1248</v>
      </c>
      <c r="K15" s="163">
        <v>1320</v>
      </c>
      <c r="L15" s="163">
        <v>1320</v>
      </c>
      <c r="M15" s="163">
        <v>1800</v>
      </c>
      <c r="N15" s="163">
        <v>1800</v>
      </c>
      <c r="O15" s="163">
        <v>2130</v>
      </c>
      <c r="P15" s="33">
        <v>2280</v>
      </c>
      <c r="Q15" s="33">
        <v>2340</v>
      </c>
      <c r="R15" s="33">
        <v>2460</v>
      </c>
      <c r="S15" s="33">
        <v>2460</v>
      </c>
      <c r="T15" s="245">
        <v>2580</v>
      </c>
      <c r="U15" s="245">
        <v>2700</v>
      </c>
      <c r="V15" s="245">
        <v>2910</v>
      </c>
      <c r="W15" s="245">
        <v>3090</v>
      </c>
      <c r="X15" s="213">
        <f>'2 YR'!I32</f>
        <v>3090</v>
      </c>
      <c r="AQ15" s="30"/>
    </row>
    <row r="16" spans="1:43" ht="12.75">
      <c r="A16" s="323" t="s">
        <v>122</v>
      </c>
      <c r="B16" s="382">
        <v>696</v>
      </c>
      <c r="C16" s="163">
        <v>812</v>
      </c>
      <c r="D16" s="163">
        <v>812</v>
      </c>
      <c r="E16" s="163">
        <v>860</v>
      </c>
      <c r="F16" s="163">
        <v>888</v>
      </c>
      <c r="G16" s="163">
        <v>928</v>
      </c>
      <c r="H16" s="163">
        <v>908</v>
      </c>
      <c r="I16" s="163">
        <v>1124</v>
      </c>
      <c r="J16" s="163">
        <v>1220</v>
      </c>
      <c r="K16" s="163">
        <v>1268</v>
      </c>
      <c r="L16" s="163">
        <v>1326</v>
      </c>
      <c r="M16" s="163">
        <v>1398</v>
      </c>
      <c r="N16" s="163">
        <v>1470</v>
      </c>
      <c r="O16" s="163">
        <v>1470</v>
      </c>
      <c r="P16" s="33">
        <v>2030</v>
      </c>
      <c r="Q16" s="33">
        <v>2130</v>
      </c>
      <c r="R16" s="33">
        <v>2350</v>
      </c>
      <c r="S16" s="33">
        <v>2500</v>
      </c>
      <c r="T16" s="245">
        <v>2670</v>
      </c>
      <c r="U16" s="245">
        <v>2840</v>
      </c>
      <c r="V16" s="245">
        <v>3050</v>
      </c>
      <c r="W16" s="245">
        <v>3320</v>
      </c>
      <c r="X16" s="213">
        <f>'2 YR'!I35</f>
        <v>3490</v>
      </c>
      <c r="AQ16" s="30"/>
    </row>
    <row r="17" spans="1:24" ht="12.75">
      <c r="A17" s="323" t="s">
        <v>74</v>
      </c>
      <c r="B17" s="382">
        <v>840</v>
      </c>
      <c r="C17" s="163">
        <v>840</v>
      </c>
      <c r="D17" s="163">
        <v>840</v>
      </c>
      <c r="E17" s="163">
        <v>876</v>
      </c>
      <c r="F17" s="163">
        <v>912</v>
      </c>
      <c r="G17" s="163">
        <v>958</v>
      </c>
      <c r="H17" s="163">
        <v>1134</v>
      </c>
      <c r="I17" s="163">
        <v>2250</v>
      </c>
      <c r="J17" s="163">
        <v>2550</v>
      </c>
      <c r="K17" s="163">
        <v>2550</v>
      </c>
      <c r="L17" s="163">
        <v>2820</v>
      </c>
      <c r="M17" s="163">
        <v>3015</v>
      </c>
      <c r="N17" s="163">
        <v>2865</v>
      </c>
      <c r="O17" s="163">
        <v>2925</v>
      </c>
      <c r="P17" s="33">
        <v>3085</v>
      </c>
      <c r="Q17" s="33">
        <v>3085</v>
      </c>
      <c r="R17" s="33">
        <v>3460</v>
      </c>
      <c r="S17" s="33">
        <v>3602.5</v>
      </c>
      <c r="T17" s="245">
        <v>3813</v>
      </c>
      <c r="U17" s="245">
        <v>4098</v>
      </c>
      <c r="V17" s="245">
        <v>4348</v>
      </c>
      <c r="W17" s="245">
        <v>4513</v>
      </c>
      <c r="X17" s="213">
        <f>'2 YR'!I38</f>
        <v>4512.5</v>
      </c>
    </row>
    <row r="18" spans="1:24" ht="12.75">
      <c r="A18" s="323" t="s">
        <v>19</v>
      </c>
      <c r="B18" s="382"/>
      <c r="C18" s="163">
        <v>792</v>
      </c>
      <c r="D18" s="163">
        <v>850</v>
      </c>
      <c r="E18" s="163">
        <v>840</v>
      </c>
      <c r="F18" s="163">
        <v>924</v>
      </c>
      <c r="G18" s="163">
        <v>960</v>
      </c>
      <c r="H18" s="163">
        <v>960</v>
      </c>
      <c r="I18" s="163">
        <v>1032</v>
      </c>
      <c r="J18" s="163">
        <v>1032</v>
      </c>
      <c r="K18" s="163">
        <v>1640</v>
      </c>
      <c r="L18" s="163">
        <v>1830</v>
      </c>
      <c r="M18" s="163">
        <v>1980</v>
      </c>
      <c r="N18" s="163">
        <v>1980</v>
      </c>
      <c r="O18" s="163">
        <v>2310</v>
      </c>
      <c r="P18" s="33">
        <v>2360</v>
      </c>
      <c r="Q18" s="33">
        <v>2365</v>
      </c>
      <c r="R18" s="33">
        <v>2570</v>
      </c>
      <c r="S18" s="33">
        <v>2570</v>
      </c>
      <c r="T18" s="245">
        <v>2720</v>
      </c>
      <c r="U18" s="245">
        <v>2720</v>
      </c>
      <c r="V18" s="245">
        <v>2810</v>
      </c>
      <c r="W18" s="245">
        <v>3005</v>
      </c>
      <c r="X18" s="213">
        <f>'2 YR'!I41</f>
        <v>3325</v>
      </c>
    </row>
    <row r="19" spans="1:24" ht="12.75">
      <c r="A19" s="323" t="s">
        <v>20</v>
      </c>
      <c r="B19" s="382">
        <v>792</v>
      </c>
      <c r="C19" s="163">
        <v>792</v>
      </c>
      <c r="D19" s="163">
        <v>792</v>
      </c>
      <c r="E19" s="163">
        <v>840</v>
      </c>
      <c r="F19" s="163">
        <v>888</v>
      </c>
      <c r="G19" s="163">
        <v>888</v>
      </c>
      <c r="H19" s="163">
        <v>888</v>
      </c>
      <c r="I19" s="163">
        <v>1224</v>
      </c>
      <c r="J19" s="163">
        <v>1224</v>
      </c>
      <c r="K19" s="163">
        <v>1316</v>
      </c>
      <c r="L19" s="163">
        <v>1730</v>
      </c>
      <c r="M19" s="163">
        <v>1796</v>
      </c>
      <c r="N19" s="163">
        <v>2030</v>
      </c>
      <c r="O19" s="163">
        <v>2030</v>
      </c>
      <c r="P19" s="33">
        <v>2180</v>
      </c>
      <c r="Q19" s="33">
        <v>2180</v>
      </c>
      <c r="R19" s="33">
        <v>2300</v>
      </c>
      <c r="S19" s="33">
        <v>2300</v>
      </c>
      <c r="T19" s="245">
        <v>2450</v>
      </c>
      <c r="U19" s="245">
        <v>2630</v>
      </c>
      <c r="V19" s="245">
        <v>2735</v>
      </c>
      <c r="W19" s="245">
        <v>2855</v>
      </c>
      <c r="X19" s="213">
        <f>'2 YR'!I43</f>
        <v>2967.5</v>
      </c>
    </row>
    <row r="20" spans="1:24" ht="12.75">
      <c r="A20" s="323" t="s">
        <v>21</v>
      </c>
      <c r="B20" s="382"/>
      <c r="C20" s="163">
        <v>840</v>
      </c>
      <c r="D20" s="163">
        <v>912</v>
      </c>
      <c r="E20" s="163">
        <v>984</v>
      </c>
      <c r="F20" s="163">
        <v>1032</v>
      </c>
      <c r="G20" s="163">
        <v>1056</v>
      </c>
      <c r="H20" s="163">
        <v>1140</v>
      </c>
      <c r="I20" s="163">
        <v>1196</v>
      </c>
      <c r="J20" s="163">
        <v>1530</v>
      </c>
      <c r="K20" s="163">
        <v>1620</v>
      </c>
      <c r="L20" s="163">
        <v>1870</v>
      </c>
      <c r="M20" s="163">
        <v>2110</v>
      </c>
      <c r="N20" s="163">
        <v>2170</v>
      </c>
      <c r="O20" s="163">
        <v>2270</v>
      </c>
      <c r="P20" s="33">
        <v>2430</v>
      </c>
      <c r="Q20" s="33">
        <v>2520</v>
      </c>
      <c r="R20" s="33">
        <v>2660</v>
      </c>
      <c r="S20" s="33">
        <v>2800</v>
      </c>
      <c r="T20" s="245">
        <v>2860</v>
      </c>
      <c r="U20" s="245">
        <v>2980</v>
      </c>
      <c r="V20" s="245">
        <v>3183</v>
      </c>
      <c r="W20" s="245">
        <v>3563</v>
      </c>
      <c r="X20" s="213">
        <f>'2 YR'!I46</f>
        <v>4013</v>
      </c>
    </row>
    <row r="21" spans="1:24" ht="12.75">
      <c r="A21" s="323" t="s">
        <v>22</v>
      </c>
      <c r="B21" s="382">
        <v>696</v>
      </c>
      <c r="C21" s="163">
        <v>696</v>
      </c>
      <c r="D21" s="163">
        <v>696</v>
      </c>
      <c r="E21" s="163">
        <v>792</v>
      </c>
      <c r="F21" s="163">
        <v>888</v>
      </c>
      <c r="G21" s="163">
        <v>888</v>
      </c>
      <c r="H21" s="163">
        <v>888</v>
      </c>
      <c r="I21" s="163">
        <v>1104</v>
      </c>
      <c r="J21" s="163">
        <v>1104</v>
      </c>
      <c r="K21" s="163">
        <v>1104</v>
      </c>
      <c r="L21" s="163">
        <v>1470</v>
      </c>
      <c r="M21" s="163">
        <v>1470</v>
      </c>
      <c r="N21" s="163">
        <v>1890</v>
      </c>
      <c r="O21" s="185">
        <v>1890</v>
      </c>
      <c r="P21" s="33">
        <v>2160</v>
      </c>
      <c r="Q21" s="33">
        <v>1800</v>
      </c>
      <c r="R21" s="33">
        <v>2160</v>
      </c>
      <c r="S21" s="33">
        <v>2220</v>
      </c>
      <c r="T21" s="245">
        <v>2430</v>
      </c>
      <c r="U21" s="245">
        <v>2580</v>
      </c>
      <c r="V21" s="245">
        <v>2670</v>
      </c>
      <c r="W21" s="245">
        <v>3180</v>
      </c>
      <c r="X21" s="213">
        <f>'2 YR'!I48</f>
        <v>3360</v>
      </c>
    </row>
    <row r="22" spans="1:24" ht="12.75">
      <c r="A22" s="323" t="s">
        <v>23</v>
      </c>
      <c r="B22" s="382">
        <v>744</v>
      </c>
      <c r="C22" s="163">
        <v>744</v>
      </c>
      <c r="D22" s="163">
        <v>802</v>
      </c>
      <c r="E22" s="163">
        <v>850</v>
      </c>
      <c r="F22" s="163">
        <v>898</v>
      </c>
      <c r="G22" s="163">
        <v>922</v>
      </c>
      <c r="H22" s="163">
        <v>946</v>
      </c>
      <c r="I22" s="163">
        <v>1258</v>
      </c>
      <c r="J22" s="163">
        <v>1450</v>
      </c>
      <c r="K22" s="163">
        <v>1618</v>
      </c>
      <c r="L22" s="163">
        <v>2140</v>
      </c>
      <c r="M22" s="163">
        <v>2140</v>
      </c>
      <c r="N22" s="163">
        <v>2140</v>
      </c>
      <c r="O22" s="163">
        <v>2140</v>
      </c>
      <c r="P22" s="33">
        <v>2140</v>
      </c>
      <c r="Q22" s="33">
        <v>2230</v>
      </c>
      <c r="R22" s="33">
        <v>2410</v>
      </c>
      <c r="S22" s="33">
        <v>2470</v>
      </c>
      <c r="T22" s="245">
        <v>2620</v>
      </c>
      <c r="U22" s="245">
        <v>2890</v>
      </c>
      <c r="V22" s="245">
        <v>3010</v>
      </c>
      <c r="W22" s="245">
        <v>3140</v>
      </c>
      <c r="X22" s="213">
        <f>'2 YR'!I51</f>
        <v>3290</v>
      </c>
    </row>
    <row r="23" spans="1:24" ht="12.75">
      <c r="A23" s="323" t="s">
        <v>25</v>
      </c>
      <c r="B23" s="382">
        <v>840</v>
      </c>
      <c r="C23" s="163">
        <v>912</v>
      </c>
      <c r="D23" s="163">
        <v>994</v>
      </c>
      <c r="E23" s="163">
        <v>1032</v>
      </c>
      <c r="F23" s="163">
        <v>1080</v>
      </c>
      <c r="G23" s="163">
        <v>1080</v>
      </c>
      <c r="H23" s="163">
        <v>1128</v>
      </c>
      <c r="I23" s="163">
        <v>1128</v>
      </c>
      <c r="J23" s="163">
        <v>1368</v>
      </c>
      <c r="K23" s="163">
        <v>1680</v>
      </c>
      <c r="L23" s="163">
        <v>1800</v>
      </c>
      <c r="M23" s="163">
        <v>1920</v>
      </c>
      <c r="N23" s="163">
        <v>1920</v>
      </c>
      <c r="O23" s="163">
        <v>2106</v>
      </c>
      <c r="P23" s="33">
        <v>2520</v>
      </c>
      <c r="Q23" s="33">
        <v>2520</v>
      </c>
      <c r="R23" s="33">
        <v>3030</v>
      </c>
      <c r="S23" s="33">
        <v>3180</v>
      </c>
      <c r="T23" s="245">
        <v>3270</v>
      </c>
      <c r="U23" s="245">
        <v>3420</v>
      </c>
      <c r="V23" s="245">
        <v>3630</v>
      </c>
      <c r="W23" s="245">
        <v>4050</v>
      </c>
      <c r="X23" s="213">
        <f>'2 YR'!I54</f>
        <v>4050</v>
      </c>
    </row>
    <row r="24" spans="1:24" ht="12.75">
      <c r="A24" s="323" t="s">
        <v>24</v>
      </c>
      <c r="B24" s="382"/>
      <c r="C24" s="163">
        <v>720</v>
      </c>
      <c r="D24" s="163">
        <v>850</v>
      </c>
      <c r="E24" s="163">
        <v>910</v>
      </c>
      <c r="F24" s="163">
        <v>910</v>
      </c>
      <c r="G24" s="163">
        <v>922</v>
      </c>
      <c r="H24" s="163">
        <v>910</v>
      </c>
      <c r="I24" s="163">
        <v>910</v>
      </c>
      <c r="J24" s="163">
        <v>1000</v>
      </c>
      <c r="K24" s="163">
        <v>1140</v>
      </c>
      <c r="L24" s="163">
        <v>1600</v>
      </c>
      <c r="M24" s="163">
        <v>1600</v>
      </c>
      <c r="N24" s="163">
        <v>1600</v>
      </c>
      <c r="O24" s="163">
        <v>1660</v>
      </c>
      <c r="P24" s="33">
        <v>1720</v>
      </c>
      <c r="Q24" s="33">
        <v>1780</v>
      </c>
      <c r="R24" s="33">
        <v>2320</v>
      </c>
      <c r="S24" s="33">
        <v>2320</v>
      </c>
      <c r="T24" s="245">
        <v>2770</v>
      </c>
      <c r="U24" s="245">
        <v>2830</v>
      </c>
      <c r="V24" s="245">
        <v>2980</v>
      </c>
      <c r="W24" s="245">
        <v>3010</v>
      </c>
      <c r="X24" s="213">
        <f>'2 YR'!I56</f>
        <v>3070</v>
      </c>
    </row>
    <row r="25" spans="1:24" ht="12.75">
      <c r="A25" s="323" t="s">
        <v>27</v>
      </c>
      <c r="B25" s="382"/>
      <c r="C25" s="163">
        <v>792</v>
      </c>
      <c r="D25" s="163">
        <v>850</v>
      </c>
      <c r="E25" s="163">
        <v>850</v>
      </c>
      <c r="F25" s="163">
        <v>908</v>
      </c>
      <c r="G25" s="163">
        <v>970</v>
      </c>
      <c r="H25" s="163">
        <v>852</v>
      </c>
      <c r="I25" s="163">
        <v>1066</v>
      </c>
      <c r="J25" s="163">
        <v>1066</v>
      </c>
      <c r="K25" s="163">
        <v>1258</v>
      </c>
      <c r="L25" s="163">
        <v>1750</v>
      </c>
      <c r="M25" s="163">
        <v>1900</v>
      </c>
      <c r="N25" s="163">
        <v>2110</v>
      </c>
      <c r="O25" s="163">
        <v>2200</v>
      </c>
      <c r="P25" s="33">
        <v>2200</v>
      </c>
      <c r="Q25" s="33">
        <v>2290</v>
      </c>
      <c r="R25" s="33">
        <v>2455</v>
      </c>
      <c r="S25" s="33">
        <v>2570</v>
      </c>
      <c r="T25" s="245">
        <v>2660</v>
      </c>
      <c r="U25" s="245">
        <v>2810</v>
      </c>
      <c r="V25" s="245">
        <v>2900</v>
      </c>
      <c r="W25" s="245">
        <v>3060</v>
      </c>
      <c r="X25" s="213">
        <f>'2 YR'!I58</f>
        <v>3195</v>
      </c>
    </row>
    <row r="26" spans="1:24" ht="12.75" hidden="1">
      <c r="A26" s="323" t="s">
        <v>116</v>
      </c>
      <c r="B26" s="382">
        <v>778</v>
      </c>
      <c r="C26" s="163">
        <v>792</v>
      </c>
      <c r="D26" s="163">
        <v>860</v>
      </c>
      <c r="E26" s="163">
        <v>884</v>
      </c>
      <c r="F26" s="163">
        <v>884</v>
      </c>
      <c r="G26" s="163">
        <v>884</v>
      </c>
      <c r="H26" s="163">
        <v>932</v>
      </c>
      <c r="I26" s="163">
        <v>1460</v>
      </c>
      <c r="J26" s="163">
        <v>1590</v>
      </c>
      <c r="K26" s="163">
        <v>1590</v>
      </c>
      <c r="L26" s="163"/>
      <c r="M26" s="163"/>
      <c r="N26" s="163"/>
      <c r="O26" s="163"/>
      <c r="X26" s="210"/>
    </row>
    <row r="27" spans="1:43" ht="12.75">
      <c r="A27" s="323" t="s">
        <v>26</v>
      </c>
      <c r="B27" s="382"/>
      <c r="C27" s="163">
        <v>792</v>
      </c>
      <c r="D27" s="163">
        <v>912</v>
      </c>
      <c r="E27" s="163">
        <v>912</v>
      </c>
      <c r="F27" s="163">
        <v>912</v>
      </c>
      <c r="G27" s="163">
        <v>860</v>
      </c>
      <c r="H27" s="163">
        <v>860</v>
      </c>
      <c r="I27" s="163">
        <v>1004</v>
      </c>
      <c r="J27" s="163">
        <v>1076</v>
      </c>
      <c r="K27" s="163">
        <v>1268</v>
      </c>
      <c r="L27" s="163">
        <v>1760</v>
      </c>
      <c r="M27" s="163">
        <v>1850</v>
      </c>
      <c r="N27" s="163">
        <v>1888</v>
      </c>
      <c r="O27" s="163">
        <v>1888</v>
      </c>
      <c r="P27" s="33">
        <v>1948</v>
      </c>
      <c r="Q27" s="33">
        <v>2016</v>
      </c>
      <c r="R27" s="33">
        <v>2016</v>
      </c>
      <c r="S27" s="33">
        <v>2016</v>
      </c>
      <c r="T27" s="245">
        <v>2121</v>
      </c>
      <c r="U27" s="245">
        <v>2286</v>
      </c>
      <c r="V27" s="245">
        <v>2346</v>
      </c>
      <c r="W27" s="245">
        <v>2421</v>
      </c>
      <c r="X27" s="213">
        <f>'2 YR'!I61</f>
        <v>2560</v>
      </c>
      <c r="AQ27" s="30"/>
    </row>
    <row r="28" spans="1:43" ht="12.75">
      <c r="A28" s="329" t="s">
        <v>31</v>
      </c>
      <c r="B28" s="383"/>
      <c r="C28" s="330">
        <v>792</v>
      </c>
      <c r="D28" s="330">
        <v>840</v>
      </c>
      <c r="E28" s="330">
        <v>966</v>
      </c>
      <c r="F28" s="330">
        <v>990</v>
      </c>
      <c r="G28" s="330">
        <v>990</v>
      </c>
      <c r="H28" s="330">
        <v>990</v>
      </c>
      <c r="I28" s="330">
        <v>1182</v>
      </c>
      <c r="J28" s="330">
        <v>1510</v>
      </c>
      <c r="K28" s="330">
        <v>1660</v>
      </c>
      <c r="L28" s="330">
        <v>1990</v>
      </c>
      <c r="M28" s="330">
        <v>1990</v>
      </c>
      <c r="N28" s="330">
        <v>2230</v>
      </c>
      <c r="O28" s="330">
        <v>2440</v>
      </c>
      <c r="P28" s="182">
        <v>2610</v>
      </c>
      <c r="Q28" s="182">
        <v>2610</v>
      </c>
      <c r="R28" s="182">
        <v>2730</v>
      </c>
      <c r="S28" s="182">
        <v>2850</v>
      </c>
      <c r="T28" s="321">
        <v>3030</v>
      </c>
      <c r="U28" s="321">
        <v>3300</v>
      </c>
      <c r="V28" s="321">
        <v>3360</v>
      </c>
      <c r="W28" s="321">
        <v>3500</v>
      </c>
      <c r="X28" s="214">
        <f>'2 YR'!I64</f>
        <v>3635</v>
      </c>
      <c r="AQ28" s="30"/>
    </row>
    <row r="29" spans="1:25" s="33" customFormat="1" ht="13.5" customHeight="1" thickBot="1">
      <c r="A29" s="324" t="s">
        <v>107</v>
      </c>
      <c r="B29" s="384">
        <f aca="true" t="shared" si="0" ref="B29:V29">AVERAGE(B6:B28)</f>
        <v>760.1818181818181</v>
      </c>
      <c r="C29" s="179">
        <f t="shared" si="0"/>
        <v>797.4285714285714</v>
      </c>
      <c r="D29" s="179">
        <f t="shared" si="0"/>
        <v>851.2380952380952</v>
      </c>
      <c r="E29" s="179">
        <f t="shared" si="0"/>
        <v>917.1428571428571</v>
      </c>
      <c r="F29" s="179">
        <f t="shared" si="0"/>
        <v>951.6363636363636</v>
      </c>
      <c r="G29" s="179">
        <f t="shared" si="0"/>
        <v>981.6363636363636</v>
      </c>
      <c r="H29" s="179">
        <f t="shared" si="0"/>
        <v>993.4545454545455</v>
      </c>
      <c r="I29" s="179">
        <f t="shared" si="0"/>
        <v>1193.1818181818182</v>
      </c>
      <c r="J29" s="179">
        <f t="shared" si="0"/>
        <v>1314.0869565217392</v>
      </c>
      <c r="K29" s="179">
        <f t="shared" si="0"/>
        <v>1503.4782608695652</v>
      </c>
      <c r="L29" s="179">
        <f t="shared" si="0"/>
        <v>1752.4545454545455</v>
      </c>
      <c r="M29" s="179">
        <f t="shared" si="0"/>
        <v>1881.1363636363637</v>
      </c>
      <c r="N29" s="179">
        <f t="shared" si="0"/>
        <v>1976.7727272727273</v>
      </c>
      <c r="O29" s="179">
        <f t="shared" si="0"/>
        <v>2081.1363636363635</v>
      </c>
      <c r="P29" s="179">
        <f t="shared" si="0"/>
        <v>2205.1363636363635</v>
      </c>
      <c r="Q29" s="179">
        <f t="shared" si="0"/>
        <v>2238.909090909091</v>
      </c>
      <c r="R29" s="179">
        <f t="shared" si="0"/>
        <v>2428.2272727272725</v>
      </c>
      <c r="S29" s="179">
        <f t="shared" si="0"/>
        <v>2503.659090909091</v>
      </c>
      <c r="T29" s="325">
        <f t="shared" si="0"/>
        <v>2653.909090909091</v>
      </c>
      <c r="U29" s="325">
        <f t="shared" si="0"/>
        <v>2803.090909090909</v>
      </c>
      <c r="V29" s="325">
        <f t="shared" si="0"/>
        <v>2948.2272727272725</v>
      </c>
      <c r="W29" s="325">
        <v>3157.318181818182</v>
      </c>
      <c r="X29" s="326">
        <f>AVERAGE(X6:X28)</f>
        <v>3290.2272727272725</v>
      </c>
      <c r="Y29" s="194"/>
    </row>
    <row r="30" spans="2:43" ht="12.75" customHeight="1">
      <c r="B30" s="385"/>
      <c r="C30" s="39">
        <f aca="true" t="shared" si="1" ref="C30:V30">((C29-B29)/B29)</f>
        <v>0.04899716404141192</v>
      </c>
      <c r="D30" s="39">
        <f t="shared" si="1"/>
        <v>0.06747880090767935</v>
      </c>
      <c r="E30" s="39">
        <f t="shared" si="1"/>
        <v>0.07742224211232941</v>
      </c>
      <c r="F30" s="39">
        <f t="shared" si="1"/>
        <v>0.037609742282639504</v>
      </c>
      <c r="G30" s="39">
        <f t="shared" si="1"/>
        <v>0.031524646541841804</v>
      </c>
      <c r="H30" s="39">
        <f t="shared" si="1"/>
        <v>0.012039266530839096</v>
      </c>
      <c r="I30" s="39">
        <f t="shared" si="1"/>
        <v>0.20104319180087848</v>
      </c>
      <c r="J30" s="39">
        <f t="shared" si="1"/>
        <v>0.10133002070393378</v>
      </c>
      <c r="K30" s="39">
        <f t="shared" si="1"/>
        <v>0.1441238750661725</v>
      </c>
      <c r="L30" s="39">
        <f t="shared" si="1"/>
        <v>0.16560018928439982</v>
      </c>
      <c r="M30" s="39">
        <f t="shared" si="1"/>
        <v>0.07342947554079995</v>
      </c>
      <c r="N30" s="39">
        <f t="shared" si="1"/>
        <v>0.05083967621118756</v>
      </c>
      <c r="O30" s="39">
        <f t="shared" si="1"/>
        <v>0.052794959644967644</v>
      </c>
      <c r="P30" s="39">
        <f t="shared" si="1"/>
        <v>0.05958283280550399</v>
      </c>
      <c r="Q30" s="39">
        <f t="shared" si="1"/>
        <v>0.015315482448003723</v>
      </c>
      <c r="R30" s="39">
        <f t="shared" si="1"/>
        <v>0.08455822640896528</v>
      </c>
      <c r="S30" s="39">
        <f t="shared" si="1"/>
        <v>0.031064562625184974</v>
      </c>
      <c r="T30" s="39">
        <f t="shared" si="1"/>
        <v>0.06001216401448788</v>
      </c>
      <c r="U30" s="39">
        <f t="shared" si="1"/>
        <v>0.05621210564176337</v>
      </c>
      <c r="V30" s="39">
        <f t="shared" si="1"/>
        <v>0.05177725887007844</v>
      </c>
      <c r="W30" s="39">
        <v>0.07092089236983717</v>
      </c>
      <c r="X30" s="39">
        <f>((X29-W29)/W29)</f>
        <v>0.04209556441744276</v>
      </c>
      <c r="AQ30" s="30"/>
    </row>
    <row r="31" spans="1:43" ht="13.5" thickBot="1">
      <c r="A31" s="37" t="s">
        <v>113</v>
      </c>
      <c r="B31" s="386"/>
      <c r="K31" s="33"/>
      <c r="L31" s="33"/>
      <c r="M31" s="33"/>
      <c r="AQ31" s="30"/>
    </row>
    <row r="32" spans="1:24" s="33" customFormat="1" ht="12">
      <c r="A32" s="327" t="s">
        <v>32</v>
      </c>
      <c r="B32" s="387" t="s">
        <v>97</v>
      </c>
      <c r="C32" s="328" t="s">
        <v>98</v>
      </c>
      <c r="D32" s="328" t="s">
        <v>99</v>
      </c>
      <c r="E32" s="328" t="s">
        <v>100</v>
      </c>
      <c r="F32" s="328" t="s">
        <v>101</v>
      </c>
      <c r="G32" s="328" t="s">
        <v>102</v>
      </c>
      <c r="H32" s="184" t="s">
        <v>103</v>
      </c>
      <c r="I32" s="184" t="s">
        <v>104</v>
      </c>
      <c r="J32" s="184" t="s">
        <v>105</v>
      </c>
      <c r="K32" s="184" t="s">
        <v>106</v>
      </c>
      <c r="L32" s="184" t="s">
        <v>95</v>
      </c>
      <c r="M32" s="184" t="s">
        <v>92</v>
      </c>
      <c r="N32" s="184" t="s">
        <v>93</v>
      </c>
      <c r="O32" s="184" t="s">
        <v>270</v>
      </c>
      <c r="P32" s="184" t="s">
        <v>304</v>
      </c>
      <c r="Q32" s="184" t="s">
        <v>308</v>
      </c>
      <c r="R32" s="184" t="s">
        <v>328</v>
      </c>
      <c r="S32" s="184" t="s">
        <v>341</v>
      </c>
      <c r="T32" s="184" t="s">
        <v>357</v>
      </c>
      <c r="U32" s="184" t="s">
        <v>373</v>
      </c>
      <c r="V32" s="184" t="s">
        <v>391</v>
      </c>
      <c r="W32" s="184" t="s">
        <v>442</v>
      </c>
      <c r="X32" s="212" t="s">
        <v>513</v>
      </c>
    </row>
    <row r="33" spans="1:24" ht="12.75">
      <c r="A33" s="323" t="s">
        <v>121</v>
      </c>
      <c r="B33" s="382">
        <v>864</v>
      </c>
      <c r="C33" s="163">
        <v>990</v>
      </c>
      <c r="D33" s="163">
        <v>1032</v>
      </c>
      <c r="E33" s="163">
        <v>1056</v>
      </c>
      <c r="F33" s="163">
        <v>1114</v>
      </c>
      <c r="G33" s="163">
        <v>1114</v>
      </c>
      <c r="H33" s="163">
        <v>1114</v>
      </c>
      <c r="I33" s="163">
        <v>2362</v>
      </c>
      <c r="J33" s="163">
        <v>2386</v>
      </c>
      <c r="K33" s="163">
        <v>2492</v>
      </c>
      <c r="L33" s="163">
        <v>2564</v>
      </c>
      <c r="M33" s="163">
        <v>3290</v>
      </c>
      <c r="N33" s="163">
        <v>3370</v>
      </c>
      <c r="O33" s="163">
        <v>3430</v>
      </c>
      <c r="P33" s="33">
        <v>3460</v>
      </c>
      <c r="Q33" s="33">
        <v>3490</v>
      </c>
      <c r="R33" s="33">
        <v>3520</v>
      </c>
      <c r="S33" s="33">
        <v>3580</v>
      </c>
      <c r="T33" s="245">
        <v>3640</v>
      </c>
      <c r="U33" s="245">
        <v>3680</v>
      </c>
      <c r="V33" s="245">
        <v>3800</v>
      </c>
      <c r="W33" s="245">
        <v>3890</v>
      </c>
      <c r="X33" s="213">
        <f>'2 YR'!I10</f>
        <v>3890</v>
      </c>
    </row>
    <row r="34" spans="1:24" ht="12.75">
      <c r="A34" s="323" t="s">
        <v>10</v>
      </c>
      <c r="B34" s="382">
        <v>1644</v>
      </c>
      <c r="C34" s="163">
        <v>1824</v>
      </c>
      <c r="D34" s="163">
        <v>1884</v>
      </c>
      <c r="E34" s="163">
        <v>1884</v>
      </c>
      <c r="F34" s="163">
        <v>1894</v>
      </c>
      <c r="G34" s="163">
        <v>1894</v>
      </c>
      <c r="H34" s="163">
        <v>1884</v>
      </c>
      <c r="I34" s="163">
        <v>1914</v>
      </c>
      <c r="J34" s="163">
        <v>2130</v>
      </c>
      <c r="K34" s="163">
        <v>2700</v>
      </c>
      <c r="L34" s="163">
        <v>3000</v>
      </c>
      <c r="M34" s="163">
        <v>3300</v>
      </c>
      <c r="N34" s="163">
        <v>3540</v>
      </c>
      <c r="O34" s="163">
        <v>3750</v>
      </c>
      <c r="P34" s="33">
        <v>3990</v>
      </c>
      <c r="Q34" s="33">
        <v>4140</v>
      </c>
      <c r="R34" s="33">
        <v>4350</v>
      </c>
      <c r="S34" s="33">
        <v>4350</v>
      </c>
      <c r="T34" s="245">
        <v>4530</v>
      </c>
      <c r="U34" s="245">
        <v>4650</v>
      </c>
      <c r="V34" s="245">
        <v>4920</v>
      </c>
      <c r="W34" s="245">
        <v>5040</v>
      </c>
      <c r="X34" s="213">
        <f>'2 YR'!I14</f>
        <v>5310</v>
      </c>
    </row>
    <row r="35" spans="1:24" ht="12.75">
      <c r="A35" s="323" t="s">
        <v>14</v>
      </c>
      <c r="B35" s="382"/>
      <c r="C35" s="163"/>
      <c r="D35" s="163"/>
      <c r="E35" s="163"/>
      <c r="F35" s="163">
        <v>1834</v>
      </c>
      <c r="G35" s="163">
        <v>1882</v>
      </c>
      <c r="H35" s="163">
        <v>1882</v>
      </c>
      <c r="I35" s="163">
        <v>1882</v>
      </c>
      <c r="J35" s="163">
        <v>1930</v>
      </c>
      <c r="K35" s="163">
        <v>2520</v>
      </c>
      <c r="L35" s="163">
        <v>2520</v>
      </c>
      <c r="M35" s="163">
        <v>3300</v>
      </c>
      <c r="N35" s="163">
        <v>3540</v>
      </c>
      <c r="O35" s="163">
        <v>3750</v>
      </c>
      <c r="P35" s="33">
        <v>3900</v>
      </c>
      <c r="Q35" s="33">
        <v>3900</v>
      </c>
      <c r="R35" s="33">
        <v>4410</v>
      </c>
      <c r="S35" s="33">
        <v>4410</v>
      </c>
      <c r="T35" s="245">
        <v>4560</v>
      </c>
      <c r="U35" s="245">
        <v>4770</v>
      </c>
      <c r="V35" s="245">
        <v>4950</v>
      </c>
      <c r="W35" s="245">
        <v>5100</v>
      </c>
      <c r="X35" s="213">
        <f>'2 YR'!I16</f>
        <v>5250</v>
      </c>
    </row>
    <row r="36" spans="1:24" ht="12.75">
      <c r="A36" s="323" t="s">
        <v>13</v>
      </c>
      <c r="B36" s="382"/>
      <c r="C36" s="163"/>
      <c r="D36" s="163"/>
      <c r="E36" s="163"/>
      <c r="F36" s="163"/>
      <c r="G36" s="163"/>
      <c r="H36" s="163"/>
      <c r="I36" s="163"/>
      <c r="J36" s="163">
        <v>2100</v>
      </c>
      <c r="K36" s="163">
        <v>2610</v>
      </c>
      <c r="L36" s="163">
        <v>3000</v>
      </c>
      <c r="M36" s="163">
        <v>3210</v>
      </c>
      <c r="N36" s="163">
        <v>3450</v>
      </c>
      <c r="O36" s="163">
        <v>3660</v>
      </c>
      <c r="P36" s="33">
        <v>3810</v>
      </c>
      <c r="Q36" s="33">
        <v>3930</v>
      </c>
      <c r="R36" s="33">
        <v>3930</v>
      </c>
      <c r="S36" s="33">
        <v>3930</v>
      </c>
      <c r="T36" s="245">
        <v>4140</v>
      </c>
      <c r="U36" s="245">
        <v>4290</v>
      </c>
      <c r="V36" s="245">
        <v>4500</v>
      </c>
      <c r="W36" s="245">
        <v>4680</v>
      </c>
      <c r="X36" s="213">
        <f>'2 YR'!I18</f>
        <v>4860</v>
      </c>
    </row>
    <row r="37" spans="1:24" ht="12.75">
      <c r="A37" s="323" t="s">
        <v>79</v>
      </c>
      <c r="B37" s="382"/>
      <c r="C37" s="163">
        <v>1920</v>
      </c>
      <c r="D37" s="163">
        <v>1920</v>
      </c>
      <c r="E37" s="163">
        <v>3168</v>
      </c>
      <c r="F37" s="163">
        <v>3336</v>
      </c>
      <c r="G37" s="163">
        <v>3336</v>
      </c>
      <c r="H37" s="163">
        <v>3336</v>
      </c>
      <c r="I37" s="163">
        <v>4032</v>
      </c>
      <c r="J37" s="163">
        <v>4106</v>
      </c>
      <c r="K37" s="163">
        <v>5210</v>
      </c>
      <c r="L37" s="163">
        <v>5250</v>
      </c>
      <c r="M37" s="163">
        <v>5430</v>
      </c>
      <c r="N37" s="163">
        <v>5430</v>
      </c>
      <c r="O37" s="163">
        <v>5430</v>
      </c>
      <c r="P37" s="33">
        <v>5430</v>
      </c>
      <c r="Q37" s="33">
        <v>5430</v>
      </c>
      <c r="R37" s="33">
        <v>5550</v>
      </c>
      <c r="S37" s="33">
        <v>5550</v>
      </c>
      <c r="T37" s="245">
        <v>5820</v>
      </c>
      <c r="U37" s="245">
        <v>5820</v>
      </c>
      <c r="V37" s="245">
        <v>6150</v>
      </c>
      <c r="W37" s="245">
        <v>6180</v>
      </c>
      <c r="X37" s="213">
        <f>'2 YR'!I20</f>
        <v>6240</v>
      </c>
    </row>
    <row r="38" spans="1:24" ht="12.75">
      <c r="A38" s="323" t="s">
        <v>30</v>
      </c>
      <c r="B38" s="382"/>
      <c r="C38" s="163">
        <v>640</v>
      </c>
      <c r="D38" s="163">
        <v>1940</v>
      </c>
      <c r="E38" s="163">
        <v>3184</v>
      </c>
      <c r="F38" s="163">
        <v>3184</v>
      </c>
      <c r="G38" s="163">
        <v>3996</v>
      </c>
      <c r="H38" s="163">
        <v>4214</v>
      </c>
      <c r="I38" s="163">
        <v>3674</v>
      </c>
      <c r="J38" s="163">
        <v>3674</v>
      </c>
      <c r="K38" s="163">
        <v>3674</v>
      </c>
      <c r="L38" s="163">
        <v>4124</v>
      </c>
      <c r="M38" s="163">
        <v>4426</v>
      </c>
      <c r="N38" s="163">
        <v>4636</v>
      </c>
      <c r="O38" s="163">
        <v>5146</v>
      </c>
      <c r="P38" s="33">
        <v>5220</v>
      </c>
      <c r="Q38" s="33">
        <v>5220</v>
      </c>
      <c r="R38" s="33">
        <v>5220</v>
      </c>
      <c r="S38" s="33">
        <v>4780</v>
      </c>
      <c r="T38" s="245">
        <v>4780</v>
      </c>
      <c r="U38" s="245">
        <v>4852</v>
      </c>
      <c r="V38" s="245">
        <v>4852</v>
      </c>
      <c r="W38" s="245">
        <v>5062</v>
      </c>
      <c r="X38" s="213">
        <f>'2 YR'!I23</f>
        <v>5212</v>
      </c>
    </row>
    <row r="39" spans="1:24" ht="12.75">
      <c r="A39" s="323" t="s">
        <v>417</v>
      </c>
      <c r="B39" s="382"/>
      <c r="C39" s="163">
        <v>810</v>
      </c>
      <c r="D39" s="163">
        <v>1026</v>
      </c>
      <c r="E39" s="163">
        <v>2130</v>
      </c>
      <c r="F39" s="163">
        <v>2130</v>
      </c>
      <c r="G39" s="163">
        <v>2130</v>
      </c>
      <c r="H39" s="163">
        <v>2130</v>
      </c>
      <c r="I39" s="163">
        <v>2130</v>
      </c>
      <c r="J39" s="163">
        <v>3900</v>
      </c>
      <c r="K39" s="163">
        <v>3900</v>
      </c>
      <c r="L39" s="163">
        <v>4020</v>
      </c>
      <c r="M39" s="163">
        <v>4590</v>
      </c>
      <c r="N39" s="163">
        <v>4800</v>
      </c>
      <c r="O39" s="163">
        <v>4980</v>
      </c>
      <c r="P39" s="33">
        <v>3540</v>
      </c>
      <c r="Q39" s="33">
        <v>3630</v>
      </c>
      <c r="R39" s="33">
        <v>3810</v>
      </c>
      <c r="S39" s="33">
        <v>4022</v>
      </c>
      <c r="T39" s="245">
        <v>4112</v>
      </c>
      <c r="U39" s="245">
        <v>4262</v>
      </c>
      <c r="V39" s="245">
        <v>4457</v>
      </c>
      <c r="W39" s="245">
        <v>5732</v>
      </c>
      <c r="X39" s="213">
        <f>'2 YR'!I25</f>
        <v>5950</v>
      </c>
    </row>
    <row r="40" spans="1:24" ht="12.75">
      <c r="A40" s="323" t="s">
        <v>16</v>
      </c>
      <c r="B40" s="382">
        <v>768</v>
      </c>
      <c r="C40" s="163">
        <v>816</v>
      </c>
      <c r="D40" s="163">
        <v>960</v>
      </c>
      <c r="E40" s="163">
        <v>960</v>
      </c>
      <c r="F40" s="163">
        <v>1032</v>
      </c>
      <c r="G40" s="163">
        <v>954</v>
      </c>
      <c r="H40" s="163">
        <v>936</v>
      </c>
      <c r="I40" s="163">
        <v>1212</v>
      </c>
      <c r="J40" s="163">
        <v>1140</v>
      </c>
      <c r="K40" s="163">
        <v>1392</v>
      </c>
      <c r="L40" s="163">
        <v>1950</v>
      </c>
      <c r="M40" s="163">
        <v>1950</v>
      </c>
      <c r="N40" s="163">
        <v>2130</v>
      </c>
      <c r="O40" s="163">
        <v>2220</v>
      </c>
      <c r="P40" s="33">
        <v>2220</v>
      </c>
      <c r="Q40" s="33">
        <v>2370</v>
      </c>
      <c r="R40" s="33">
        <v>2550</v>
      </c>
      <c r="S40" s="33">
        <v>2700</v>
      </c>
      <c r="T40" s="245">
        <v>2850</v>
      </c>
      <c r="U40" s="245">
        <v>3060</v>
      </c>
      <c r="V40" s="245">
        <v>3150</v>
      </c>
      <c r="W40" s="245">
        <v>3270</v>
      </c>
      <c r="X40" s="213">
        <f>'2 YR'!I28</f>
        <v>3390</v>
      </c>
    </row>
    <row r="41" spans="1:24" ht="12.75">
      <c r="A41" s="323" t="s">
        <v>17</v>
      </c>
      <c r="B41" s="382"/>
      <c r="C41" s="163">
        <v>1080</v>
      </c>
      <c r="D41" s="163">
        <v>888</v>
      </c>
      <c r="E41" s="163">
        <v>898</v>
      </c>
      <c r="F41" s="163">
        <v>970</v>
      </c>
      <c r="G41" s="163">
        <v>980</v>
      </c>
      <c r="H41" s="163">
        <v>970</v>
      </c>
      <c r="I41" s="163">
        <v>1326</v>
      </c>
      <c r="J41" s="163">
        <v>1326</v>
      </c>
      <c r="K41" s="163">
        <v>1830</v>
      </c>
      <c r="L41" s="163">
        <v>1890</v>
      </c>
      <c r="M41" s="163">
        <v>1890</v>
      </c>
      <c r="N41" s="163">
        <v>3150</v>
      </c>
      <c r="O41" s="163">
        <v>3360</v>
      </c>
      <c r="P41" s="33">
        <v>3360</v>
      </c>
      <c r="Q41" s="33">
        <v>3600</v>
      </c>
      <c r="R41" s="33">
        <v>3930</v>
      </c>
      <c r="S41" s="33">
        <v>4370</v>
      </c>
      <c r="T41" s="245">
        <v>4520</v>
      </c>
      <c r="U41" s="245">
        <v>5180</v>
      </c>
      <c r="V41" s="245">
        <v>5490</v>
      </c>
      <c r="W41" s="245">
        <v>9370</v>
      </c>
      <c r="X41" s="213">
        <f>'2 YR'!I31</f>
        <v>9490</v>
      </c>
    </row>
    <row r="42" spans="1:24" ht="12.75">
      <c r="A42" s="323" t="s">
        <v>18</v>
      </c>
      <c r="B42" s="382">
        <v>888</v>
      </c>
      <c r="C42" s="163">
        <v>1008</v>
      </c>
      <c r="D42" s="163">
        <v>1008</v>
      </c>
      <c r="E42" s="163">
        <v>1128</v>
      </c>
      <c r="F42" s="163">
        <v>1128</v>
      </c>
      <c r="G42" s="163">
        <v>1152</v>
      </c>
      <c r="H42" s="163">
        <v>1152</v>
      </c>
      <c r="I42" s="163">
        <v>2448</v>
      </c>
      <c r="J42" s="163">
        <v>2448</v>
      </c>
      <c r="K42" s="163">
        <v>2568</v>
      </c>
      <c r="L42" s="163">
        <v>2568</v>
      </c>
      <c r="M42" s="163">
        <v>3540</v>
      </c>
      <c r="N42" s="163">
        <v>3540</v>
      </c>
      <c r="O42" s="163">
        <v>4110</v>
      </c>
      <c r="P42" s="33">
        <v>4380</v>
      </c>
      <c r="Q42" s="33">
        <v>4470</v>
      </c>
      <c r="R42" s="33">
        <v>4590</v>
      </c>
      <c r="S42" s="33">
        <v>4590</v>
      </c>
      <c r="T42" s="245">
        <v>4710</v>
      </c>
      <c r="U42" s="245">
        <v>4830</v>
      </c>
      <c r="V42" s="245">
        <v>5040</v>
      </c>
      <c r="W42" s="245">
        <v>5220</v>
      </c>
      <c r="X42" s="213">
        <f>'2 YR'!I34</f>
        <v>5220</v>
      </c>
    </row>
    <row r="43" spans="1:24" ht="12.75">
      <c r="A43" s="323" t="s">
        <v>122</v>
      </c>
      <c r="B43" s="382">
        <v>888</v>
      </c>
      <c r="C43" s="163">
        <v>1028</v>
      </c>
      <c r="D43" s="163">
        <v>1028</v>
      </c>
      <c r="E43" s="163">
        <v>1076</v>
      </c>
      <c r="F43" s="163">
        <v>1104</v>
      </c>
      <c r="G43" s="163">
        <v>1144</v>
      </c>
      <c r="H43" s="163">
        <v>1124</v>
      </c>
      <c r="I43" s="163">
        <v>2780</v>
      </c>
      <c r="J43" s="163">
        <v>2780</v>
      </c>
      <c r="K43" s="163">
        <v>2780</v>
      </c>
      <c r="L43" s="163">
        <v>2790</v>
      </c>
      <c r="M43" s="163">
        <v>3765</v>
      </c>
      <c r="N43" s="163">
        <v>3006</v>
      </c>
      <c r="O43" s="163">
        <v>3006</v>
      </c>
      <c r="P43" s="33">
        <v>3950</v>
      </c>
      <c r="Q43" s="33">
        <v>4050</v>
      </c>
      <c r="R43" s="33">
        <v>4270</v>
      </c>
      <c r="S43" s="33">
        <v>4270</v>
      </c>
      <c r="T43" s="245">
        <v>4350</v>
      </c>
      <c r="U43" s="245">
        <v>4370</v>
      </c>
      <c r="V43" s="245">
        <v>4370</v>
      </c>
      <c r="W43" s="245">
        <v>4490</v>
      </c>
      <c r="X43" s="213">
        <f>'2 YR'!I37</f>
        <v>4540</v>
      </c>
    </row>
    <row r="44" spans="1:24" ht="12.75">
      <c r="A44" s="323" t="s">
        <v>74</v>
      </c>
      <c r="B44" s="382">
        <v>1440</v>
      </c>
      <c r="C44" s="163">
        <v>1440</v>
      </c>
      <c r="D44" s="163">
        <v>1440</v>
      </c>
      <c r="E44" s="163">
        <v>1596</v>
      </c>
      <c r="F44" s="163">
        <v>1800</v>
      </c>
      <c r="G44" s="163">
        <v>1846</v>
      </c>
      <c r="H44" s="163">
        <v>2244</v>
      </c>
      <c r="I44" s="163">
        <v>2880</v>
      </c>
      <c r="J44" s="163">
        <v>3180</v>
      </c>
      <c r="K44" s="163">
        <v>3180</v>
      </c>
      <c r="L44" s="163">
        <v>3570</v>
      </c>
      <c r="M44" s="163">
        <v>2790</v>
      </c>
      <c r="N44" s="163">
        <v>3945</v>
      </c>
      <c r="O44" s="163">
        <v>3975</v>
      </c>
      <c r="P44" s="33">
        <v>4195</v>
      </c>
      <c r="Q44" s="33">
        <v>4195</v>
      </c>
      <c r="R44" s="33">
        <v>4653</v>
      </c>
      <c r="S44" s="33">
        <v>4862.5</v>
      </c>
      <c r="T44" s="245">
        <v>5163</v>
      </c>
      <c r="U44" s="245">
        <v>5598</v>
      </c>
      <c r="V44" s="245">
        <v>5923</v>
      </c>
      <c r="W44" s="245">
        <v>6088</v>
      </c>
      <c r="X44" s="213">
        <f>'2 YR'!I40</f>
        <v>6087.5</v>
      </c>
    </row>
    <row r="45" spans="1:24" ht="12.75">
      <c r="A45" s="323" t="s">
        <v>19</v>
      </c>
      <c r="B45" s="382"/>
      <c r="C45" s="163">
        <v>792</v>
      </c>
      <c r="D45" s="163">
        <v>850</v>
      </c>
      <c r="E45" s="163">
        <v>840</v>
      </c>
      <c r="F45" s="163">
        <v>924</v>
      </c>
      <c r="G45" s="163">
        <v>960</v>
      </c>
      <c r="H45" s="163">
        <v>3576</v>
      </c>
      <c r="I45" s="163">
        <v>4104</v>
      </c>
      <c r="J45" s="163">
        <v>4104</v>
      </c>
      <c r="K45" s="163">
        <v>5180</v>
      </c>
      <c r="L45" s="163">
        <v>5220</v>
      </c>
      <c r="M45" s="163">
        <v>5220</v>
      </c>
      <c r="N45" s="163">
        <v>5220</v>
      </c>
      <c r="O45" s="163">
        <v>5400</v>
      </c>
      <c r="P45" s="33">
        <v>5450</v>
      </c>
      <c r="Q45" s="33">
        <v>5455</v>
      </c>
      <c r="R45" s="33">
        <v>5660</v>
      </c>
      <c r="S45" s="33">
        <v>5510</v>
      </c>
      <c r="T45" s="245">
        <v>5510</v>
      </c>
      <c r="U45" s="245">
        <v>5660</v>
      </c>
      <c r="V45" s="245">
        <v>5750</v>
      </c>
      <c r="W45" s="245">
        <v>5945</v>
      </c>
      <c r="X45" s="213">
        <f>'2 YR'!I42</f>
        <v>6265</v>
      </c>
    </row>
    <row r="46" spans="1:24" ht="12.75">
      <c r="A46" s="323" t="s">
        <v>20</v>
      </c>
      <c r="B46" s="382">
        <v>1008</v>
      </c>
      <c r="C46" s="163">
        <v>1008</v>
      </c>
      <c r="D46" s="163">
        <v>1008</v>
      </c>
      <c r="E46" s="163">
        <v>1056</v>
      </c>
      <c r="F46" s="163">
        <v>1104</v>
      </c>
      <c r="G46" s="163">
        <v>1104</v>
      </c>
      <c r="H46" s="163">
        <v>1104</v>
      </c>
      <c r="I46" s="163">
        <v>2136</v>
      </c>
      <c r="J46" s="163">
        <v>2136</v>
      </c>
      <c r="K46" s="163">
        <v>2228</v>
      </c>
      <c r="L46" s="163">
        <v>2870</v>
      </c>
      <c r="M46" s="163">
        <v>2936</v>
      </c>
      <c r="N46" s="163">
        <v>3170</v>
      </c>
      <c r="O46" s="163">
        <v>3170</v>
      </c>
      <c r="P46" s="33">
        <v>3320</v>
      </c>
      <c r="Q46" s="33">
        <v>3320</v>
      </c>
      <c r="R46" s="33">
        <v>3440</v>
      </c>
      <c r="S46" s="33">
        <v>3440</v>
      </c>
      <c r="T46" s="245">
        <v>3650</v>
      </c>
      <c r="U46" s="245">
        <v>3920</v>
      </c>
      <c r="V46" s="245">
        <v>4055</v>
      </c>
      <c r="W46" s="245">
        <v>4175</v>
      </c>
      <c r="X46" s="213">
        <f>'2 YR'!I45</f>
        <v>4325</v>
      </c>
    </row>
    <row r="47" spans="1:24" ht="12.75">
      <c r="A47" s="323" t="s">
        <v>21</v>
      </c>
      <c r="B47" s="382"/>
      <c r="C47" s="163">
        <v>840</v>
      </c>
      <c r="D47" s="163">
        <v>1920</v>
      </c>
      <c r="E47" s="163">
        <v>1920</v>
      </c>
      <c r="F47" s="163">
        <v>1968</v>
      </c>
      <c r="G47" s="163">
        <v>1968</v>
      </c>
      <c r="H47" s="163">
        <v>2128</v>
      </c>
      <c r="I47" s="163">
        <v>2504</v>
      </c>
      <c r="J47" s="163">
        <v>2520</v>
      </c>
      <c r="K47" s="163">
        <v>2520</v>
      </c>
      <c r="L47" s="163">
        <v>2590</v>
      </c>
      <c r="M47" s="163">
        <v>2620</v>
      </c>
      <c r="N47" s="163">
        <v>3430</v>
      </c>
      <c r="O47" s="163">
        <v>3590</v>
      </c>
      <c r="P47" s="33">
        <v>3840</v>
      </c>
      <c r="Q47" s="33">
        <v>3990</v>
      </c>
      <c r="R47" s="33">
        <v>4190</v>
      </c>
      <c r="S47" s="33">
        <v>4330</v>
      </c>
      <c r="T47" s="245">
        <v>4450</v>
      </c>
      <c r="U47" s="245">
        <v>4600</v>
      </c>
      <c r="V47" s="245">
        <v>4923</v>
      </c>
      <c r="W47" s="245">
        <v>5303</v>
      </c>
      <c r="X47" s="213">
        <f>'2 YR'!I47</f>
        <v>5753</v>
      </c>
    </row>
    <row r="48" spans="1:24" ht="12.75">
      <c r="A48" s="323" t="s">
        <v>22</v>
      </c>
      <c r="B48" s="382">
        <v>840</v>
      </c>
      <c r="C48" s="163">
        <v>840</v>
      </c>
      <c r="D48" s="163">
        <v>840</v>
      </c>
      <c r="E48" s="163">
        <v>960</v>
      </c>
      <c r="F48" s="163">
        <v>1104</v>
      </c>
      <c r="G48" s="163">
        <v>1104</v>
      </c>
      <c r="H48" s="163">
        <v>1104</v>
      </c>
      <c r="I48" s="163">
        <v>3312</v>
      </c>
      <c r="J48" s="163">
        <v>3312</v>
      </c>
      <c r="K48" s="163">
        <v>3312</v>
      </c>
      <c r="L48" s="163">
        <v>4230</v>
      </c>
      <c r="M48" s="163">
        <v>4230</v>
      </c>
      <c r="N48" s="163">
        <v>4590</v>
      </c>
      <c r="O48" s="185">
        <v>4590</v>
      </c>
      <c r="P48" s="33">
        <v>5190</v>
      </c>
      <c r="Q48" s="33">
        <v>5190</v>
      </c>
      <c r="R48" s="33">
        <v>5190</v>
      </c>
      <c r="S48" s="33">
        <v>5280</v>
      </c>
      <c r="T48" s="245">
        <v>5430</v>
      </c>
      <c r="U48" s="245">
        <v>5640</v>
      </c>
      <c r="V48" s="245">
        <v>5790</v>
      </c>
      <c r="W48" s="245">
        <v>6330</v>
      </c>
      <c r="X48" s="213">
        <f>'2 YR'!I50</f>
        <v>6600</v>
      </c>
    </row>
    <row r="49" spans="1:24" ht="12.75">
      <c r="A49" s="323" t="s">
        <v>23</v>
      </c>
      <c r="B49" s="382">
        <v>888</v>
      </c>
      <c r="C49" s="163">
        <v>888</v>
      </c>
      <c r="D49" s="163">
        <v>1018</v>
      </c>
      <c r="E49" s="163">
        <v>1066</v>
      </c>
      <c r="F49" s="163">
        <v>1114</v>
      </c>
      <c r="G49" s="163">
        <v>1138</v>
      </c>
      <c r="H49" s="163">
        <v>1162</v>
      </c>
      <c r="I49" s="163">
        <v>2338</v>
      </c>
      <c r="J49" s="163">
        <v>2458</v>
      </c>
      <c r="K49" s="163">
        <v>2698</v>
      </c>
      <c r="L49" s="163">
        <v>3790</v>
      </c>
      <c r="M49" s="163">
        <v>3790</v>
      </c>
      <c r="N49" s="163">
        <v>3790</v>
      </c>
      <c r="O49" s="163">
        <v>3790</v>
      </c>
      <c r="P49" s="33">
        <v>3790</v>
      </c>
      <c r="Q49" s="33">
        <v>3880</v>
      </c>
      <c r="R49" s="33">
        <v>4240</v>
      </c>
      <c r="S49" s="33">
        <v>4360</v>
      </c>
      <c r="T49" s="245">
        <v>4600</v>
      </c>
      <c r="U49" s="245">
        <v>4930</v>
      </c>
      <c r="V49" s="245">
        <v>5170</v>
      </c>
      <c r="W49" s="245">
        <v>5360</v>
      </c>
      <c r="X49" s="213">
        <f>'2 YR'!I53</f>
        <v>5540</v>
      </c>
    </row>
    <row r="50" spans="1:24" ht="12.75">
      <c r="A50" s="323" t="s">
        <v>25</v>
      </c>
      <c r="B50" s="382">
        <v>1200</v>
      </c>
      <c r="C50" s="163">
        <v>1320</v>
      </c>
      <c r="D50" s="163">
        <v>1450</v>
      </c>
      <c r="E50" s="163">
        <v>1548</v>
      </c>
      <c r="F50" s="163">
        <v>1620</v>
      </c>
      <c r="G50" s="163">
        <v>1620</v>
      </c>
      <c r="H50" s="163">
        <v>1608</v>
      </c>
      <c r="I50" s="163">
        <v>1608</v>
      </c>
      <c r="J50" s="163">
        <v>1848</v>
      </c>
      <c r="K50" s="163">
        <v>2160</v>
      </c>
      <c r="L50" s="163">
        <v>2280</v>
      </c>
      <c r="M50" s="163">
        <v>2400</v>
      </c>
      <c r="N50" s="163">
        <v>2400</v>
      </c>
      <c r="O50" s="163">
        <v>2626</v>
      </c>
      <c r="P50" s="33">
        <v>3150</v>
      </c>
      <c r="Q50" s="33">
        <v>3150</v>
      </c>
      <c r="R50" s="33">
        <v>4260</v>
      </c>
      <c r="S50" s="33">
        <v>4500</v>
      </c>
      <c r="T50" s="245">
        <v>4590</v>
      </c>
      <c r="U50" s="245">
        <v>4740</v>
      </c>
      <c r="V50" s="245">
        <v>4950</v>
      </c>
      <c r="W50" s="245">
        <v>5490</v>
      </c>
      <c r="X50" s="213">
        <f>'2 YR'!I55</f>
        <v>5490</v>
      </c>
    </row>
    <row r="51" spans="1:24" ht="12.75">
      <c r="A51" s="323" t="s">
        <v>24</v>
      </c>
      <c r="B51" s="382"/>
      <c r="C51" s="163">
        <v>720</v>
      </c>
      <c r="D51" s="163">
        <v>1690</v>
      </c>
      <c r="E51" s="163">
        <v>1810</v>
      </c>
      <c r="F51" s="163">
        <v>1810</v>
      </c>
      <c r="G51" s="163">
        <v>1822</v>
      </c>
      <c r="H51" s="163">
        <v>1810</v>
      </c>
      <c r="I51" s="163">
        <v>1810</v>
      </c>
      <c r="J51" s="163">
        <v>1990</v>
      </c>
      <c r="K51" s="163">
        <v>2220</v>
      </c>
      <c r="L51" s="163">
        <v>3200</v>
      </c>
      <c r="M51" s="163">
        <v>3100</v>
      </c>
      <c r="N51" s="163">
        <v>3100</v>
      </c>
      <c r="O51" s="163">
        <v>3160</v>
      </c>
      <c r="P51" s="33">
        <v>3220</v>
      </c>
      <c r="Q51" s="33">
        <v>3280</v>
      </c>
      <c r="R51" s="33">
        <v>4360</v>
      </c>
      <c r="S51" s="33">
        <v>4360</v>
      </c>
      <c r="T51" s="245">
        <v>5110</v>
      </c>
      <c r="U51" s="245">
        <v>5230</v>
      </c>
      <c r="V51" s="245">
        <v>5440</v>
      </c>
      <c r="W51" s="245">
        <v>5470</v>
      </c>
      <c r="X51" s="213">
        <f>'2 YR'!I57</f>
        <v>5590</v>
      </c>
    </row>
    <row r="52" spans="1:24" ht="12.75">
      <c r="A52" s="323" t="s">
        <v>27</v>
      </c>
      <c r="B52" s="382"/>
      <c r="C52" s="163">
        <v>792</v>
      </c>
      <c r="D52" s="163">
        <v>970</v>
      </c>
      <c r="E52" s="163">
        <v>970</v>
      </c>
      <c r="F52" s="163">
        <v>6644</v>
      </c>
      <c r="G52" s="163">
        <v>6706</v>
      </c>
      <c r="H52" s="163">
        <v>1020</v>
      </c>
      <c r="I52" s="163">
        <v>2026</v>
      </c>
      <c r="J52" s="163">
        <v>2026</v>
      </c>
      <c r="K52" s="163">
        <v>2314</v>
      </c>
      <c r="L52" s="163">
        <v>3190</v>
      </c>
      <c r="M52" s="163">
        <v>3430</v>
      </c>
      <c r="N52" s="163">
        <v>3820</v>
      </c>
      <c r="O52" s="163">
        <v>4000</v>
      </c>
      <c r="P52" s="33">
        <v>4000</v>
      </c>
      <c r="Q52" s="33">
        <v>4090</v>
      </c>
      <c r="R52" s="33">
        <v>4165</v>
      </c>
      <c r="S52" s="33">
        <v>4190</v>
      </c>
      <c r="T52" s="245">
        <v>4790</v>
      </c>
      <c r="U52" s="245">
        <v>4850</v>
      </c>
      <c r="V52" s="245">
        <v>4850</v>
      </c>
      <c r="W52" s="245">
        <v>4920</v>
      </c>
      <c r="X52" s="213">
        <f>'2 YR'!I60</f>
        <v>4920</v>
      </c>
    </row>
    <row r="53" spans="1:24" ht="12.75" hidden="1">
      <c r="A53" s="323" t="s">
        <v>116</v>
      </c>
      <c r="B53" s="382">
        <v>1018</v>
      </c>
      <c r="C53" s="163">
        <v>1076</v>
      </c>
      <c r="D53" s="163">
        <v>1076</v>
      </c>
      <c r="E53" s="163">
        <v>1100</v>
      </c>
      <c r="F53" s="163">
        <v>1100</v>
      </c>
      <c r="G53" s="163">
        <v>1100</v>
      </c>
      <c r="H53" s="163">
        <v>1172</v>
      </c>
      <c r="I53" s="163">
        <v>2900</v>
      </c>
      <c r="J53" s="163">
        <v>3090</v>
      </c>
      <c r="K53" s="163">
        <v>3090</v>
      </c>
      <c r="L53" s="163"/>
      <c r="M53" s="163"/>
      <c r="X53" s="210"/>
    </row>
    <row r="54" spans="1:24" ht="12.75">
      <c r="A54" s="323" t="s">
        <v>26</v>
      </c>
      <c r="B54" s="382"/>
      <c r="C54" s="163">
        <v>792</v>
      </c>
      <c r="D54" s="163">
        <v>1920</v>
      </c>
      <c r="E54" s="163">
        <v>1920</v>
      </c>
      <c r="F54" s="163">
        <v>1920</v>
      </c>
      <c r="G54" s="163">
        <v>932</v>
      </c>
      <c r="H54" s="163">
        <v>932</v>
      </c>
      <c r="I54" s="163">
        <v>2084</v>
      </c>
      <c r="J54" s="163">
        <v>2156</v>
      </c>
      <c r="K54" s="163">
        <v>2348</v>
      </c>
      <c r="L54" s="163">
        <v>3290</v>
      </c>
      <c r="M54" s="163">
        <v>3470</v>
      </c>
      <c r="N54" s="163">
        <v>3508</v>
      </c>
      <c r="O54" s="163">
        <v>3508</v>
      </c>
      <c r="P54" s="33">
        <v>3628</v>
      </c>
      <c r="Q54" s="33">
        <v>3696</v>
      </c>
      <c r="R54" s="33">
        <v>3696</v>
      </c>
      <c r="S54" s="33">
        <v>3696</v>
      </c>
      <c r="T54" s="245">
        <v>3891</v>
      </c>
      <c r="U54" s="245">
        <v>4146</v>
      </c>
      <c r="V54" s="245">
        <v>4206</v>
      </c>
      <c r="W54" s="245">
        <v>4386</v>
      </c>
      <c r="X54" s="213">
        <f>'2 YR'!I63</f>
        <v>4600</v>
      </c>
    </row>
    <row r="55" spans="1:24" ht="12.75">
      <c r="A55" s="329" t="s">
        <v>31</v>
      </c>
      <c r="B55" s="383"/>
      <c r="C55" s="330">
        <v>792</v>
      </c>
      <c r="D55" s="330">
        <v>840</v>
      </c>
      <c r="E55" s="330">
        <v>966</v>
      </c>
      <c r="F55" s="330">
        <v>990</v>
      </c>
      <c r="G55" s="330">
        <v>1470</v>
      </c>
      <c r="H55" s="330">
        <v>1470</v>
      </c>
      <c r="I55" s="330">
        <v>1758</v>
      </c>
      <c r="J55" s="330">
        <v>2230</v>
      </c>
      <c r="K55" s="330">
        <v>2470</v>
      </c>
      <c r="L55" s="330">
        <v>2950</v>
      </c>
      <c r="M55" s="330">
        <v>2950</v>
      </c>
      <c r="N55" s="330">
        <v>3190</v>
      </c>
      <c r="O55" s="330">
        <v>3400</v>
      </c>
      <c r="P55" s="182">
        <v>3570</v>
      </c>
      <c r="Q55" s="182">
        <v>3570</v>
      </c>
      <c r="R55" s="182">
        <v>3720</v>
      </c>
      <c r="S55" s="182">
        <v>3900</v>
      </c>
      <c r="T55" s="321">
        <v>4140</v>
      </c>
      <c r="U55" s="321">
        <v>4410</v>
      </c>
      <c r="V55" s="321">
        <v>4470</v>
      </c>
      <c r="W55" s="321">
        <v>4610</v>
      </c>
      <c r="X55" s="214">
        <f>'2 YR'!I66</f>
        <v>4730</v>
      </c>
    </row>
    <row r="56" spans="1:24" ht="13.5" customHeight="1" thickBot="1">
      <c r="A56" s="324" t="s">
        <v>107</v>
      </c>
      <c r="B56" s="384">
        <f aca="true" t="shared" si="2" ref="B56:V56">AVERAGE(B33:B55)</f>
        <v>1040.5454545454545</v>
      </c>
      <c r="C56" s="179">
        <f t="shared" si="2"/>
        <v>1019.8095238095239</v>
      </c>
      <c r="D56" s="179">
        <f t="shared" si="2"/>
        <v>1271.8095238095239</v>
      </c>
      <c r="E56" s="179">
        <f t="shared" si="2"/>
        <v>1487.4285714285713</v>
      </c>
      <c r="F56" s="179">
        <f t="shared" si="2"/>
        <v>1810.1818181818182</v>
      </c>
      <c r="G56" s="179">
        <f t="shared" si="2"/>
        <v>1834.1818181818182</v>
      </c>
      <c r="H56" s="179">
        <f t="shared" si="2"/>
        <v>1730.5454545454545</v>
      </c>
      <c r="I56" s="179">
        <f t="shared" si="2"/>
        <v>2419.090909090909</v>
      </c>
      <c r="J56" s="179">
        <f t="shared" si="2"/>
        <v>2563.913043478261</v>
      </c>
      <c r="K56" s="179">
        <f t="shared" si="2"/>
        <v>2843.304347826087</v>
      </c>
      <c r="L56" s="179">
        <f t="shared" si="2"/>
        <v>3220.7272727272725</v>
      </c>
      <c r="M56" s="179">
        <f t="shared" si="2"/>
        <v>3437.590909090909</v>
      </c>
      <c r="N56" s="179">
        <f t="shared" si="2"/>
        <v>3670.681818181818</v>
      </c>
      <c r="O56" s="179">
        <f t="shared" si="2"/>
        <v>3820.5</v>
      </c>
      <c r="P56" s="179">
        <f t="shared" si="2"/>
        <v>3936.9545454545455</v>
      </c>
      <c r="Q56" s="179">
        <f t="shared" si="2"/>
        <v>4002.090909090909</v>
      </c>
      <c r="R56" s="179">
        <f t="shared" si="2"/>
        <v>4259.272727272727</v>
      </c>
      <c r="S56" s="179">
        <f t="shared" si="2"/>
        <v>4317.295454545455</v>
      </c>
      <c r="T56" s="325">
        <f t="shared" si="2"/>
        <v>4515.272727272727</v>
      </c>
      <c r="U56" s="325">
        <f t="shared" si="2"/>
        <v>4704</v>
      </c>
      <c r="V56" s="325">
        <f t="shared" si="2"/>
        <v>4873</v>
      </c>
      <c r="W56" s="325">
        <v>5277.772727272727</v>
      </c>
      <c r="X56" s="326">
        <f>AVERAGE(X33:X55)</f>
        <v>5420.568181818182</v>
      </c>
    </row>
    <row r="57" spans="2:24" s="38" customFormat="1" ht="15" customHeight="1">
      <c r="B57" s="388"/>
      <c r="C57" s="40">
        <f aca="true" t="shared" si="3" ref="C57:K57">((C56-B56)/B56)</f>
        <v>-0.01992794321992287</v>
      </c>
      <c r="D57" s="39">
        <f t="shared" si="3"/>
        <v>0.24710496824803885</v>
      </c>
      <c r="E57" s="39">
        <f t="shared" si="3"/>
        <v>0.16953721731316448</v>
      </c>
      <c r="F57" s="39">
        <f t="shared" si="3"/>
        <v>0.21698739216987403</v>
      </c>
      <c r="G57" s="39">
        <f t="shared" si="3"/>
        <v>0.013258336681398152</v>
      </c>
      <c r="H57" s="39">
        <f>((H56-G56)/G56)</f>
        <v>-0.05650277557494058</v>
      </c>
      <c r="I57" s="39">
        <f t="shared" si="3"/>
        <v>0.39787770540029416</v>
      </c>
      <c r="J57" s="39">
        <f t="shared" si="3"/>
        <v>0.05986634642092716</v>
      </c>
      <c r="K57" s="39">
        <f t="shared" si="3"/>
        <v>0.10897066304900793</v>
      </c>
      <c r="L57" s="39">
        <f aca="true" t="shared" si="4" ref="L57:S57">((L56-K56)/K56)</f>
        <v>0.1327409516289569</v>
      </c>
      <c r="M57" s="194">
        <f t="shared" si="4"/>
        <v>0.06733374731850518</v>
      </c>
      <c r="N57" s="39">
        <f t="shared" si="4"/>
        <v>0.06780647123381858</v>
      </c>
      <c r="O57" s="39">
        <f t="shared" si="4"/>
        <v>0.040814810228468876</v>
      </c>
      <c r="P57" s="39">
        <f t="shared" si="4"/>
        <v>0.03048149337901989</v>
      </c>
      <c r="Q57" s="39">
        <f t="shared" si="4"/>
        <v>0.016544860471291806</v>
      </c>
      <c r="R57" s="39">
        <f t="shared" si="4"/>
        <v>0.06426186311700698</v>
      </c>
      <c r="S57" s="39">
        <f t="shared" si="4"/>
        <v>0.013622684197046174</v>
      </c>
      <c r="T57" s="39">
        <f>((T56-S56)/S56)</f>
        <v>0.04585678112875785</v>
      </c>
      <c r="U57" s="39">
        <f>((U56-T56)/T56)</f>
        <v>0.04179753563662726</v>
      </c>
      <c r="V57" s="39">
        <f>((V56-U56)/U56)</f>
        <v>0.03592687074829932</v>
      </c>
      <c r="W57" s="39">
        <v>0.08306438072495938</v>
      </c>
      <c r="X57" s="39">
        <f>((X56-W56)/W56)</f>
        <v>0.02705600675215965</v>
      </c>
    </row>
    <row r="58" spans="2:14" s="38" customFormat="1" ht="10.5" customHeight="1">
      <c r="B58" s="388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2:43" ht="12.75">
      <c r="B59" s="386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1:2" ht="12.75">
      <c r="A60" s="33" t="s">
        <v>109</v>
      </c>
      <c r="B60" s="386"/>
    </row>
    <row r="61" ht="12.75">
      <c r="B61" s="386"/>
    </row>
    <row r="62" ht="12.75">
      <c r="B62" s="386"/>
    </row>
    <row r="63" ht="12.75">
      <c r="B63" s="386"/>
    </row>
    <row r="64" ht="12.75">
      <c r="B64" s="386"/>
    </row>
    <row r="65" ht="12.75">
      <c r="B65" s="386" t="s">
        <v>546</v>
      </c>
    </row>
    <row r="66" ht="12.75">
      <c r="B66" s="386" t="s">
        <v>547</v>
      </c>
    </row>
    <row r="109" ht="16.5">
      <c r="A109" s="397"/>
    </row>
  </sheetData>
  <sheetProtection/>
  <mergeCells count="3">
    <mergeCell ref="AR1:BO1"/>
    <mergeCell ref="AR2:BO2"/>
    <mergeCell ref="AR3:BO3"/>
  </mergeCells>
  <printOptions horizontalCentered="1"/>
  <pageMargins left="0.35" right="0.25" top="0.38" bottom="0.31" header="0.39" footer="0.27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4"/>
  <sheetViews>
    <sheetView zoomScale="80" zoomScaleNormal="80" zoomScaleSheetLayoutView="75" zoomScalePageLayoutView="0" workbookViewId="0" topLeftCell="A100">
      <selection activeCell="E131" sqref="E131"/>
    </sheetView>
  </sheetViews>
  <sheetFormatPr defaultColWidth="9.140625" defaultRowHeight="12.75"/>
  <cols>
    <col min="1" max="1" width="47.8515625" style="76" customWidth="1"/>
    <col min="2" max="2" width="24.421875" style="74" bestFit="1" customWidth="1"/>
    <col min="3" max="3" width="13.140625" style="75" customWidth="1"/>
    <col min="4" max="4" width="11.8515625" style="75" customWidth="1"/>
    <col min="5" max="5" width="14.421875" style="75" customWidth="1"/>
    <col min="6" max="6" width="16.00390625" style="74" customWidth="1"/>
    <col min="7" max="7" width="13.57421875" style="74" bestFit="1" customWidth="1"/>
    <col min="8" max="8" width="10.421875" style="76" customWidth="1"/>
    <col min="9" max="9" width="9.28125" style="76" customWidth="1"/>
    <col min="10" max="10" width="11.421875" style="76" bestFit="1" customWidth="1"/>
    <col min="11" max="11" width="9.421875" style="76" bestFit="1" customWidth="1"/>
    <col min="12" max="16384" width="9.140625" style="76" customWidth="1"/>
  </cols>
  <sheetData>
    <row r="1" spans="1:8" ht="15">
      <c r="A1" s="73" t="s">
        <v>63</v>
      </c>
      <c r="F1" s="195"/>
      <c r="G1" s="196" t="s">
        <v>267</v>
      </c>
      <c r="H1" s="197"/>
    </row>
    <row r="2" spans="1:8" ht="15.75" thickBot="1">
      <c r="A2" s="81" t="s">
        <v>43</v>
      </c>
      <c r="B2" s="82" t="s">
        <v>44</v>
      </c>
      <c r="C2" s="83" t="s">
        <v>53</v>
      </c>
      <c r="D2" s="83" t="s">
        <v>45</v>
      </c>
      <c r="E2" s="83" t="s">
        <v>216</v>
      </c>
      <c r="F2" s="195"/>
      <c r="G2" s="198" t="s">
        <v>44</v>
      </c>
      <c r="H2" s="199" t="s">
        <v>53</v>
      </c>
    </row>
    <row r="3" spans="1:12" ht="14.25">
      <c r="A3" s="76" t="s">
        <v>271</v>
      </c>
      <c r="B3" s="74" t="s">
        <v>130</v>
      </c>
      <c r="C3" s="75">
        <f>20*2</f>
        <v>40</v>
      </c>
      <c r="D3" s="75">
        <f>20*2</f>
        <v>40</v>
      </c>
      <c r="E3" s="75" t="s">
        <v>218</v>
      </c>
      <c r="F3" s="200" t="s">
        <v>84</v>
      </c>
      <c r="G3" s="195"/>
      <c r="H3" s="201"/>
      <c r="J3" s="197"/>
      <c r="K3" s="201">
        <f>20*2</f>
        <v>40</v>
      </c>
      <c r="L3" s="197"/>
    </row>
    <row r="4" spans="1:12" ht="14.25">
      <c r="A4" s="76" t="s">
        <v>50</v>
      </c>
      <c r="B4" s="74" t="s">
        <v>383</v>
      </c>
      <c r="C4" s="75">
        <f>17*15*2</f>
        <v>510</v>
      </c>
      <c r="D4" s="75">
        <f>17*12*2</f>
        <v>408</v>
      </c>
      <c r="E4" s="75" t="s">
        <v>218</v>
      </c>
      <c r="F4" s="200" t="s">
        <v>129</v>
      </c>
      <c r="G4" s="195"/>
      <c r="H4" s="201"/>
      <c r="J4" s="197"/>
      <c r="K4" s="201">
        <f>12*10*2</f>
        <v>240</v>
      </c>
      <c r="L4" s="197"/>
    </row>
    <row r="5" spans="1:12" ht="14.25">
      <c r="A5" s="76" t="s">
        <v>66</v>
      </c>
      <c r="B5" s="74" t="s">
        <v>138</v>
      </c>
      <c r="C5" s="75">
        <f>10*15*2</f>
        <v>300</v>
      </c>
      <c r="D5" s="75">
        <f>10*12*2</f>
        <v>240</v>
      </c>
      <c r="E5" s="75" t="s">
        <v>218</v>
      </c>
      <c r="F5" s="195"/>
      <c r="G5" s="195"/>
      <c r="H5" s="201"/>
      <c r="J5" s="197"/>
      <c r="K5" s="201">
        <f>10*10*2</f>
        <v>200</v>
      </c>
      <c r="L5" s="197"/>
    </row>
    <row r="6" spans="1:12" ht="14.25">
      <c r="A6" s="76" t="s">
        <v>64</v>
      </c>
      <c r="B6" s="74" t="s">
        <v>290</v>
      </c>
      <c r="C6" s="75">
        <v>20</v>
      </c>
      <c r="D6" s="75">
        <v>20</v>
      </c>
      <c r="E6" s="75" t="s">
        <v>218</v>
      </c>
      <c r="F6" s="195"/>
      <c r="G6" s="195"/>
      <c r="H6" s="201"/>
      <c r="J6" s="197"/>
      <c r="K6" s="201">
        <v>20</v>
      </c>
      <c r="L6" s="197"/>
    </row>
    <row r="7" spans="1:12" ht="15">
      <c r="A7" s="305"/>
      <c r="B7" s="77" t="s">
        <v>248</v>
      </c>
      <c r="C7" s="75">
        <f>SUM(C3:C6)</f>
        <v>870</v>
      </c>
      <c r="D7" s="75">
        <f>SUM(D3:D6)</f>
        <v>708</v>
      </c>
      <c r="G7" s="75"/>
      <c r="H7" s="75"/>
      <c r="J7" s="196" t="s">
        <v>248</v>
      </c>
      <c r="K7" s="202">
        <f>SUM(K3:K6)</f>
        <v>500</v>
      </c>
      <c r="L7" s="197"/>
    </row>
    <row r="8" spans="1:12" ht="14.25">
      <c r="A8" s="76" t="s">
        <v>65</v>
      </c>
      <c r="B8" s="74" t="s">
        <v>136</v>
      </c>
      <c r="C8" s="75">
        <f>5*2</f>
        <v>10</v>
      </c>
      <c r="D8" s="75">
        <f>5*2</f>
        <v>10</v>
      </c>
      <c r="E8" s="75" t="s">
        <v>217</v>
      </c>
      <c r="F8" s="87"/>
      <c r="G8" s="75"/>
      <c r="H8" s="75"/>
      <c r="J8" s="197"/>
      <c r="K8" s="201">
        <f>5*2</f>
        <v>10</v>
      </c>
      <c r="L8" s="197"/>
    </row>
    <row r="9" spans="1:12" ht="14.25">
      <c r="A9" s="76" t="s">
        <v>336</v>
      </c>
      <c r="B9" s="74" t="s">
        <v>119</v>
      </c>
      <c r="C9" s="75">
        <f>3*15*2</f>
        <v>90</v>
      </c>
      <c r="D9" s="75">
        <f>3*12*2</f>
        <v>72</v>
      </c>
      <c r="E9" s="75" t="s">
        <v>217</v>
      </c>
      <c r="F9" s="87"/>
      <c r="G9" s="75"/>
      <c r="H9" s="75"/>
      <c r="J9" s="197"/>
      <c r="K9" s="201"/>
      <c r="L9" s="197"/>
    </row>
    <row r="10" spans="1:12" ht="14.25">
      <c r="A10" s="76" t="s">
        <v>60</v>
      </c>
      <c r="B10" s="74" t="s">
        <v>126</v>
      </c>
      <c r="C10" s="75">
        <f>4*15*2</f>
        <v>120</v>
      </c>
      <c r="D10" s="75">
        <f>4*12*2</f>
        <v>96</v>
      </c>
      <c r="E10" s="75" t="s">
        <v>217</v>
      </c>
      <c r="J10" s="197"/>
      <c r="K10" s="201">
        <f>4*10*2</f>
        <v>80</v>
      </c>
      <c r="L10" s="197"/>
    </row>
    <row r="11" spans="1:12" ht="14.25">
      <c r="A11" s="76" t="s">
        <v>220</v>
      </c>
      <c r="B11" s="74" t="s">
        <v>135</v>
      </c>
      <c r="C11" s="75">
        <f>6*15*2</f>
        <v>180</v>
      </c>
      <c r="D11" s="75">
        <f>6*12*2</f>
        <v>144</v>
      </c>
      <c r="E11" s="75" t="s">
        <v>217</v>
      </c>
      <c r="J11" s="197"/>
      <c r="K11" s="201">
        <f>6*10*2</f>
        <v>120</v>
      </c>
      <c r="L11" s="197"/>
    </row>
    <row r="12" spans="1:12" ht="14.25">
      <c r="A12" s="76" t="s">
        <v>59</v>
      </c>
      <c r="B12" s="74" t="s">
        <v>138</v>
      </c>
      <c r="C12" s="75">
        <f>10*15*2</f>
        <v>300</v>
      </c>
      <c r="D12" s="75">
        <f>10*12*2</f>
        <v>240</v>
      </c>
      <c r="E12" s="75" t="s">
        <v>217</v>
      </c>
      <c r="J12" s="197"/>
      <c r="K12" s="201">
        <f>10*10*2</f>
        <v>200</v>
      </c>
      <c r="L12" s="197"/>
    </row>
    <row r="13" spans="1:12" ht="14.25">
      <c r="A13" s="76" t="s">
        <v>309</v>
      </c>
      <c r="B13" s="74" t="s">
        <v>150</v>
      </c>
      <c r="C13" s="75">
        <f>7*15*2</f>
        <v>210</v>
      </c>
      <c r="D13" s="75">
        <f>7*12*2</f>
        <v>168</v>
      </c>
      <c r="E13" s="75" t="s">
        <v>217</v>
      </c>
      <c r="F13" s="87"/>
      <c r="J13" s="197"/>
      <c r="K13" s="201">
        <f>5*10*2</f>
        <v>100</v>
      </c>
      <c r="L13" s="197"/>
    </row>
    <row r="14" spans="1:12" ht="14.25">
      <c r="A14" s="76" t="s">
        <v>392</v>
      </c>
      <c r="B14" s="74" t="s">
        <v>135</v>
      </c>
      <c r="C14" s="75">
        <f>6*15*2</f>
        <v>180</v>
      </c>
      <c r="D14" s="75">
        <f>6*12*2</f>
        <v>144</v>
      </c>
      <c r="E14" s="75" t="s">
        <v>217</v>
      </c>
      <c r="F14" s="87"/>
      <c r="J14" s="197"/>
      <c r="K14" s="201"/>
      <c r="L14" s="197"/>
    </row>
    <row r="15" spans="2:12" ht="15">
      <c r="B15" s="77" t="s">
        <v>249</v>
      </c>
      <c r="C15" s="75">
        <f>SUM(C8:C14)</f>
        <v>1090</v>
      </c>
      <c r="D15" s="75">
        <f>SUM(D8:D14)</f>
        <v>874</v>
      </c>
      <c r="J15" s="196" t="s">
        <v>249</v>
      </c>
      <c r="K15" s="202">
        <f>SUM(K8:K13)</f>
        <v>510</v>
      </c>
      <c r="L15" s="197"/>
    </row>
    <row r="16" spans="2:12" ht="15">
      <c r="B16" s="77" t="s">
        <v>35</v>
      </c>
      <c r="C16" s="75">
        <f>C15+C7</f>
        <v>1960</v>
      </c>
      <c r="D16" s="75">
        <f>D15+D7</f>
        <v>1582</v>
      </c>
      <c r="J16" s="197"/>
      <c r="K16" s="202">
        <f>K15+K7</f>
        <v>1010</v>
      </c>
      <c r="L16" s="197"/>
    </row>
    <row r="17" spans="2:12" ht="15">
      <c r="B17" s="77" t="s">
        <v>247</v>
      </c>
      <c r="C17" s="75">
        <f>C16/2</f>
        <v>980</v>
      </c>
      <c r="D17" s="75">
        <f>D16/2</f>
        <v>791</v>
      </c>
      <c r="J17" s="197"/>
      <c r="K17" s="197"/>
      <c r="L17" s="197"/>
    </row>
    <row r="18" spans="10:12" ht="14.25">
      <c r="J18" s="197"/>
      <c r="K18" s="197"/>
      <c r="L18" s="197"/>
    </row>
    <row r="19" spans="1:12" ht="15">
      <c r="A19" s="73" t="s">
        <v>1</v>
      </c>
      <c r="F19" s="77" t="s">
        <v>365</v>
      </c>
      <c r="G19" s="77"/>
      <c r="J19" s="197"/>
      <c r="K19" s="197"/>
      <c r="L19" s="197"/>
    </row>
    <row r="20" spans="1:12" ht="15.75" thickBot="1">
      <c r="A20" s="81" t="s">
        <v>43</v>
      </c>
      <c r="B20" s="82" t="s">
        <v>44</v>
      </c>
      <c r="C20" s="83" t="s">
        <v>53</v>
      </c>
      <c r="D20" s="83" t="s">
        <v>45</v>
      </c>
      <c r="E20" s="83" t="s">
        <v>216</v>
      </c>
      <c r="F20" s="82" t="s">
        <v>44</v>
      </c>
      <c r="G20" s="83" t="s">
        <v>53</v>
      </c>
      <c r="J20" s="197"/>
      <c r="K20" s="197"/>
      <c r="L20" s="197"/>
    </row>
    <row r="21" spans="1:12" ht="15">
      <c r="A21" s="84" t="s">
        <v>354</v>
      </c>
      <c r="B21" s="85" t="s">
        <v>394</v>
      </c>
      <c r="C21" s="75" t="s">
        <v>273</v>
      </c>
      <c r="D21" s="75" t="s">
        <v>274</v>
      </c>
      <c r="E21" s="75" t="s">
        <v>218</v>
      </c>
      <c r="F21" s="215"/>
      <c r="G21" s="216"/>
      <c r="J21" s="197"/>
      <c r="K21" s="197"/>
      <c r="L21" s="197"/>
    </row>
    <row r="22" spans="1:12" ht="14.25">
      <c r="A22" s="76" t="s">
        <v>395</v>
      </c>
      <c r="B22" s="74" t="s">
        <v>119</v>
      </c>
      <c r="C22" s="75">
        <f>3*15*2</f>
        <v>90</v>
      </c>
      <c r="D22" s="75">
        <f>3*12*2</f>
        <v>72</v>
      </c>
      <c r="E22" s="74" t="s">
        <v>396</v>
      </c>
      <c r="G22" s="75"/>
      <c r="J22" s="197"/>
      <c r="K22" s="201">
        <v>20</v>
      </c>
      <c r="L22" s="197"/>
    </row>
    <row r="23" spans="1:12" ht="15">
      <c r="A23" s="305"/>
      <c r="B23" s="77" t="s">
        <v>248</v>
      </c>
      <c r="C23" s="75">
        <f>SUM(C22)</f>
        <v>90</v>
      </c>
      <c r="D23" s="75">
        <f>SUM(D22)</f>
        <v>72</v>
      </c>
      <c r="E23" s="74"/>
      <c r="G23" s="75"/>
      <c r="J23" s="197"/>
      <c r="K23" s="201"/>
      <c r="L23" s="197"/>
    </row>
    <row r="24" spans="1:12" ht="14.25">
      <c r="A24" s="76" t="s">
        <v>65</v>
      </c>
      <c r="B24" s="74" t="s">
        <v>380</v>
      </c>
      <c r="C24" s="75">
        <f>12*2</f>
        <v>24</v>
      </c>
      <c r="D24" s="75">
        <f>12*2</f>
        <v>24</v>
      </c>
      <c r="E24" s="74" t="s">
        <v>217</v>
      </c>
      <c r="G24" s="75"/>
      <c r="J24" s="197"/>
      <c r="K24" s="201">
        <f>100*2</f>
        <v>200</v>
      </c>
      <c r="L24" s="197"/>
    </row>
    <row r="25" spans="1:12" ht="14.25">
      <c r="A25" s="76" t="s">
        <v>59</v>
      </c>
      <c r="B25" s="74" t="s">
        <v>374</v>
      </c>
      <c r="C25" s="75">
        <f>140*2</f>
        <v>280</v>
      </c>
      <c r="D25" s="75">
        <f>140*2</f>
        <v>280</v>
      </c>
      <c r="E25" s="74" t="s">
        <v>217</v>
      </c>
      <c r="F25" s="74" t="s">
        <v>358</v>
      </c>
      <c r="G25" s="75">
        <f>13*15*2</f>
        <v>390</v>
      </c>
      <c r="J25" s="197"/>
      <c r="K25" s="201"/>
      <c r="L25" s="197"/>
    </row>
    <row r="26" spans="1:12" ht="14.25">
      <c r="A26" s="76" t="s">
        <v>375</v>
      </c>
      <c r="B26" s="74" t="s">
        <v>120</v>
      </c>
      <c r="C26" s="75">
        <f>2*15*2</f>
        <v>60</v>
      </c>
      <c r="D26" s="75">
        <f>2*12*2</f>
        <v>48</v>
      </c>
      <c r="E26" s="74" t="s">
        <v>217</v>
      </c>
      <c r="G26" s="75"/>
      <c r="J26" s="197"/>
      <c r="K26" s="201">
        <f>5*2</f>
        <v>10</v>
      </c>
      <c r="L26" s="197"/>
    </row>
    <row r="27" spans="1:12" ht="14.25">
      <c r="A27" s="76" t="s">
        <v>87</v>
      </c>
      <c r="B27" s="74" t="s">
        <v>366</v>
      </c>
      <c r="C27" s="75">
        <f>7*2</f>
        <v>14</v>
      </c>
      <c r="D27" s="75">
        <f>7*2</f>
        <v>14</v>
      </c>
      <c r="E27" s="74" t="s">
        <v>217</v>
      </c>
      <c r="G27" s="75"/>
      <c r="J27" s="197"/>
      <c r="K27" s="201">
        <f>4*10*2</f>
        <v>80</v>
      </c>
      <c r="L27" s="197"/>
    </row>
    <row r="28" spans="1:12" ht="14.25">
      <c r="A28" s="76" t="s">
        <v>154</v>
      </c>
      <c r="B28" s="74" t="s">
        <v>128</v>
      </c>
      <c r="C28" s="75">
        <f>5*15*2</f>
        <v>150</v>
      </c>
      <c r="D28" s="75">
        <f>5*12*2</f>
        <v>120</v>
      </c>
      <c r="E28" s="74" t="s">
        <v>217</v>
      </c>
      <c r="F28" s="74" t="s">
        <v>148</v>
      </c>
      <c r="G28" s="75">
        <f>8*15*2</f>
        <v>240</v>
      </c>
      <c r="J28" s="197"/>
      <c r="K28" s="201">
        <f>5*20</f>
        <v>100</v>
      </c>
      <c r="L28" s="197"/>
    </row>
    <row r="29" spans="1:12" ht="14.25">
      <c r="A29" s="76" t="s">
        <v>310</v>
      </c>
      <c r="B29" s="74" t="s">
        <v>138</v>
      </c>
      <c r="C29" s="75">
        <f>10*15*2</f>
        <v>300</v>
      </c>
      <c r="D29" s="75">
        <f>10*12*2</f>
        <v>240</v>
      </c>
      <c r="E29" s="74" t="s">
        <v>217</v>
      </c>
      <c r="G29" s="75"/>
      <c r="J29" s="197"/>
      <c r="K29" s="202">
        <f>SUM(K22:K28)</f>
        <v>410</v>
      </c>
      <c r="L29" s="197"/>
    </row>
    <row r="30" spans="1:12" ht="14.25">
      <c r="A30" s="76" t="s">
        <v>350</v>
      </c>
      <c r="B30" s="74" t="s">
        <v>120</v>
      </c>
      <c r="C30" s="75">
        <f>2*15*2</f>
        <v>60</v>
      </c>
      <c r="D30" s="75">
        <f>2*12*2</f>
        <v>48</v>
      </c>
      <c r="E30" s="74" t="s">
        <v>217</v>
      </c>
      <c r="F30" s="74" t="s">
        <v>150</v>
      </c>
      <c r="G30" s="75">
        <f>7*15*2</f>
        <v>210</v>
      </c>
      <c r="J30" s="197"/>
      <c r="K30" s="202"/>
      <c r="L30" s="197"/>
    </row>
    <row r="31" spans="1:12" ht="14.25">
      <c r="A31" s="76" t="s">
        <v>60</v>
      </c>
      <c r="E31" s="74" t="s">
        <v>217</v>
      </c>
      <c r="F31" s="74" t="s">
        <v>138</v>
      </c>
      <c r="G31" s="75">
        <f>10*15*2</f>
        <v>300</v>
      </c>
      <c r="J31" s="197"/>
      <c r="K31" s="202"/>
      <c r="L31" s="197"/>
    </row>
    <row r="32" spans="2:12" ht="15">
      <c r="B32" s="77" t="s">
        <v>249</v>
      </c>
      <c r="C32" s="75">
        <f>SUM(C24:C30)</f>
        <v>888</v>
      </c>
      <c r="D32" s="75">
        <f>SUM(D24:D30)</f>
        <v>774</v>
      </c>
      <c r="F32" s="75"/>
      <c r="G32" s="75">
        <f>SUM(G24:G31)</f>
        <v>1140</v>
      </c>
      <c r="J32" s="197"/>
      <c r="K32" s="197"/>
      <c r="L32" s="197"/>
    </row>
    <row r="33" spans="2:12" ht="15">
      <c r="B33" s="77" t="s">
        <v>35</v>
      </c>
      <c r="C33" s="75">
        <f>C23+C32</f>
        <v>978</v>
      </c>
      <c r="D33" s="75">
        <f>D23+D32</f>
        <v>846</v>
      </c>
      <c r="F33" s="75"/>
      <c r="G33" s="75"/>
      <c r="J33" s="197"/>
      <c r="K33" s="197"/>
      <c r="L33" s="197"/>
    </row>
    <row r="34" spans="2:7" ht="15">
      <c r="B34" s="77" t="s">
        <v>247</v>
      </c>
      <c r="C34" s="75">
        <f>C33/2</f>
        <v>489</v>
      </c>
      <c r="D34" s="75">
        <f>D33/2</f>
        <v>423</v>
      </c>
      <c r="F34" s="75"/>
      <c r="G34" s="75">
        <f>G32/2</f>
        <v>570</v>
      </c>
    </row>
    <row r="36" ht="15">
      <c r="A36" s="73" t="s">
        <v>2</v>
      </c>
    </row>
    <row r="37" spans="1:5" ht="15.75" thickBot="1">
      <c r="A37" s="81" t="s">
        <v>43</v>
      </c>
      <c r="B37" s="82" t="s">
        <v>44</v>
      </c>
      <c r="C37" s="83" t="s">
        <v>53</v>
      </c>
      <c r="D37" s="83" t="s">
        <v>45</v>
      </c>
      <c r="E37" s="83" t="s">
        <v>216</v>
      </c>
    </row>
    <row r="38" spans="1:5" ht="14.25">
      <c r="A38" s="76" t="s">
        <v>271</v>
      </c>
      <c r="B38" s="74" t="s">
        <v>295</v>
      </c>
      <c r="C38" s="75">
        <f>60*2</f>
        <v>120</v>
      </c>
      <c r="D38" s="75">
        <f>60*2</f>
        <v>120</v>
      </c>
      <c r="E38" s="75" t="s">
        <v>218</v>
      </c>
    </row>
    <row r="39" spans="1:5" ht="14.25">
      <c r="A39" s="76" t="s">
        <v>57</v>
      </c>
      <c r="B39" s="74" t="s">
        <v>332</v>
      </c>
      <c r="C39" s="75">
        <f>48*2</f>
        <v>96</v>
      </c>
      <c r="D39" s="75">
        <f>48*2</f>
        <v>96</v>
      </c>
      <c r="E39" s="75" t="s">
        <v>218</v>
      </c>
    </row>
    <row r="40" spans="1:5" ht="14.25">
      <c r="A40" s="76" t="s">
        <v>55</v>
      </c>
      <c r="B40" s="74" t="s">
        <v>132</v>
      </c>
      <c r="C40" s="75">
        <f>15*2</f>
        <v>30</v>
      </c>
      <c r="D40" s="75">
        <f>15*2</f>
        <v>30</v>
      </c>
      <c r="E40" s="75" t="s">
        <v>218</v>
      </c>
    </row>
    <row r="41" spans="1:5" ht="14.25">
      <c r="A41" s="76" t="s">
        <v>311</v>
      </c>
      <c r="B41" s="74" t="s">
        <v>312</v>
      </c>
      <c r="C41" s="75">
        <f>125*2</f>
        <v>250</v>
      </c>
      <c r="D41" s="75">
        <f>125*2</f>
        <v>250</v>
      </c>
      <c r="E41" s="75" t="s">
        <v>218</v>
      </c>
    </row>
    <row r="42" spans="1:5" ht="14.25">
      <c r="A42" s="76" t="s">
        <v>47</v>
      </c>
      <c r="B42" s="74" t="s">
        <v>120</v>
      </c>
      <c r="C42" s="75">
        <f>2*15*2</f>
        <v>60</v>
      </c>
      <c r="D42" s="75">
        <f>2*12*2</f>
        <v>48</v>
      </c>
      <c r="E42" s="74" t="s">
        <v>218</v>
      </c>
    </row>
    <row r="43" spans="1:5" ht="14.25">
      <c r="A43" s="76" t="s">
        <v>50</v>
      </c>
      <c r="B43" s="74" t="s">
        <v>534</v>
      </c>
      <c r="C43" s="75">
        <f>16.25*15*2</f>
        <v>487.5</v>
      </c>
      <c r="D43" s="75">
        <f>16.25*12*2</f>
        <v>390</v>
      </c>
      <c r="E43" s="75" t="s">
        <v>218</v>
      </c>
    </row>
    <row r="44" spans="1:4" ht="15">
      <c r="A44" s="305"/>
      <c r="B44" s="77" t="s">
        <v>248</v>
      </c>
      <c r="C44" s="75">
        <f>SUM(C38:C43)</f>
        <v>1043.5</v>
      </c>
      <c r="D44" s="75">
        <f>SUM(D38:D43)</f>
        <v>934</v>
      </c>
    </row>
    <row r="45" spans="1:9" ht="14.25">
      <c r="A45" s="76" t="s">
        <v>58</v>
      </c>
      <c r="B45" s="74" t="s">
        <v>143</v>
      </c>
      <c r="C45" s="75">
        <f>0.25*15*2</f>
        <v>7.5</v>
      </c>
      <c r="D45" s="75">
        <f>0.25*12*2</f>
        <v>6</v>
      </c>
      <c r="E45" s="75" t="s">
        <v>217</v>
      </c>
      <c r="I45" s="76" t="s">
        <v>351</v>
      </c>
    </row>
    <row r="46" spans="1:5" ht="14.25">
      <c r="A46" s="76" t="s">
        <v>250</v>
      </c>
      <c r="B46" s="74" t="s">
        <v>272</v>
      </c>
      <c r="C46" s="75">
        <f>7.5*2</f>
        <v>15</v>
      </c>
      <c r="D46" s="75">
        <f>7.5*2</f>
        <v>15</v>
      </c>
      <c r="E46" s="75" t="s">
        <v>217</v>
      </c>
    </row>
    <row r="47" spans="1:5" ht="14.25">
      <c r="A47" s="76" t="s">
        <v>60</v>
      </c>
      <c r="B47" s="74" t="s">
        <v>296</v>
      </c>
      <c r="C47" s="75">
        <f>40*2</f>
        <v>80</v>
      </c>
      <c r="D47" s="75">
        <f>40*2</f>
        <v>80</v>
      </c>
      <c r="E47" s="74" t="s">
        <v>217</v>
      </c>
    </row>
    <row r="48" spans="1:5" ht="14.25">
      <c r="A48" s="76" t="s">
        <v>220</v>
      </c>
      <c r="B48" s="74" t="s">
        <v>333</v>
      </c>
      <c r="C48" s="75">
        <f>2.5*15*2</f>
        <v>75</v>
      </c>
      <c r="D48" s="75">
        <f>2.5*12*2</f>
        <v>60</v>
      </c>
      <c r="E48" s="75" t="s">
        <v>217</v>
      </c>
    </row>
    <row r="49" spans="1:5" ht="14.25">
      <c r="A49" s="76" t="s">
        <v>59</v>
      </c>
      <c r="B49" s="74" t="s">
        <v>297</v>
      </c>
      <c r="C49" s="75">
        <f>12*15*2</f>
        <v>360</v>
      </c>
      <c r="D49" s="75">
        <f>12*12*2</f>
        <v>288</v>
      </c>
      <c r="E49" s="75" t="s">
        <v>217</v>
      </c>
    </row>
    <row r="50" spans="1:5" ht="14.25">
      <c r="A50" s="76" t="s">
        <v>298</v>
      </c>
      <c r="B50" s="74" t="s">
        <v>136</v>
      </c>
      <c r="C50" s="75">
        <f>5*2</f>
        <v>10</v>
      </c>
      <c r="D50" s="75">
        <f>5*2</f>
        <v>10</v>
      </c>
      <c r="E50" s="75" t="s">
        <v>217</v>
      </c>
    </row>
    <row r="51" spans="2:4" ht="15">
      <c r="B51" s="77" t="s">
        <v>249</v>
      </c>
      <c r="C51" s="75">
        <f>SUM(C45:C50)</f>
        <v>547.5</v>
      </c>
      <c r="D51" s="75">
        <f>SUM(D45:D50)</f>
        <v>459</v>
      </c>
    </row>
    <row r="52" spans="2:4" ht="15">
      <c r="B52" s="77" t="s">
        <v>35</v>
      </c>
      <c r="C52" s="75">
        <f>C44+C51</f>
        <v>1591</v>
      </c>
      <c r="D52" s="75">
        <f>D44+D51</f>
        <v>1393</v>
      </c>
    </row>
    <row r="53" spans="2:4" ht="15">
      <c r="B53" s="77" t="s">
        <v>247</v>
      </c>
      <c r="C53" s="75">
        <f>C52/2</f>
        <v>795.5</v>
      </c>
      <c r="D53" s="75">
        <f>D52/2</f>
        <v>696.5</v>
      </c>
    </row>
    <row r="55" ht="15">
      <c r="A55" s="73" t="s">
        <v>82</v>
      </c>
    </row>
    <row r="56" spans="1:5" ht="15.75" thickBot="1">
      <c r="A56" s="81" t="s">
        <v>43</v>
      </c>
      <c r="B56" s="82" t="s">
        <v>44</v>
      </c>
      <c r="C56" s="83" t="s">
        <v>53</v>
      </c>
      <c r="D56" s="83" t="s">
        <v>45</v>
      </c>
      <c r="E56" s="83" t="s">
        <v>216</v>
      </c>
    </row>
    <row r="57" spans="1:5" ht="14.25">
      <c r="A57" s="76" t="s">
        <v>57</v>
      </c>
      <c r="B57" s="74" t="s">
        <v>120</v>
      </c>
      <c r="C57" s="75">
        <f>2*15*2</f>
        <v>60</v>
      </c>
      <c r="D57" s="75">
        <f>2*12*2</f>
        <v>48</v>
      </c>
      <c r="E57" s="75" t="s">
        <v>218</v>
      </c>
    </row>
    <row r="58" spans="1:5" ht="14.25">
      <c r="A58" s="76" t="s">
        <v>50</v>
      </c>
      <c r="B58" s="74" t="s">
        <v>383</v>
      </c>
      <c r="C58" s="75" t="s">
        <v>273</v>
      </c>
      <c r="D58" s="75" t="s">
        <v>274</v>
      </c>
      <c r="E58" s="75" t="s">
        <v>218</v>
      </c>
    </row>
    <row r="59" spans="1:5" ht="14.25">
      <c r="A59" s="76" t="s">
        <v>70</v>
      </c>
      <c r="B59" s="74" t="s">
        <v>126</v>
      </c>
      <c r="C59" s="75">
        <f>4*15*2</f>
        <v>120</v>
      </c>
      <c r="D59" s="75">
        <f>4*12*2</f>
        <v>96</v>
      </c>
      <c r="E59" s="75" t="s">
        <v>218</v>
      </c>
    </row>
    <row r="60" spans="1:4" ht="14.25">
      <c r="A60" s="76" t="s">
        <v>361</v>
      </c>
      <c r="B60" s="74" t="s">
        <v>134</v>
      </c>
      <c r="C60" s="75">
        <f>1*15*2</f>
        <v>30</v>
      </c>
      <c r="D60" s="75">
        <f>1*12*2</f>
        <v>24</v>
      </c>
    </row>
    <row r="61" spans="1:4" ht="15">
      <c r="A61" s="305"/>
      <c r="B61" s="77" t="s">
        <v>248</v>
      </c>
      <c r="C61" s="75">
        <f>SUM(C57:C60)</f>
        <v>210</v>
      </c>
      <c r="D61" s="75">
        <f>SUM(D57:D60)</f>
        <v>168</v>
      </c>
    </row>
    <row r="62" spans="1:5" ht="14.25">
      <c r="A62" s="76" t="s">
        <v>65</v>
      </c>
      <c r="B62" s="74" t="s">
        <v>136</v>
      </c>
      <c r="C62" s="75">
        <f>5*2</f>
        <v>10</v>
      </c>
      <c r="D62" s="75">
        <v>0</v>
      </c>
      <c r="E62" s="75" t="s">
        <v>217</v>
      </c>
    </row>
    <row r="63" spans="1:5" ht="14.25">
      <c r="A63" s="76" t="s">
        <v>55</v>
      </c>
      <c r="B63" s="74" t="s">
        <v>136</v>
      </c>
      <c r="C63" s="75">
        <f>5*2</f>
        <v>10</v>
      </c>
      <c r="D63" s="75">
        <f>5*2</f>
        <v>10</v>
      </c>
      <c r="E63" s="75" t="s">
        <v>217</v>
      </c>
    </row>
    <row r="64" spans="1:5" ht="14.25">
      <c r="A64" s="76" t="s">
        <v>59</v>
      </c>
      <c r="B64" s="74" t="s">
        <v>521</v>
      </c>
      <c r="C64" s="75">
        <f>10.5*15*2</f>
        <v>315</v>
      </c>
      <c r="D64" s="75">
        <f>10.5*12*2</f>
        <v>252</v>
      </c>
      <c r="E64" s="75" t="s">
        <v>217</v>
      </c>
    </row>
    <row r="65" spans="1:5" ht="14.25">
      <c r="A65" s="76" t="s">
        <v>48</v>
      </c>
      <c r="B65" s="74" t="s">
        <v>418</v>
      </c>
      <c r="C65" s="75">
        <f>2.5*15*2</f>
        <v>75</v>
      </c>
      <c r="D65" s="75">
        <f>2.5*12*2</f>
        <v>60</v>
      </c>
      <c r="E65" s="75" t="s">
        <v>217</v>
      </c>
    </row>
    <row r="66" spans="1:5" ht="14.25">
      <c r="A66" s="76" t="s">
        <v>144</v>
      </c>
      <c r="B66" s="74" t="s">
        <v>450</v>
      </c>
      <c r="C66" s="75">
        <f>18*15*2</f>
        <v>540</v>
      </c>
      <c r="D66" s="75">
        <f>18*12*2</f>
        <v>432</v>
      </c>
      <c r="E66" s="75" t="s">
        <v>217</v>
      </c>
    </row>
    <row r="67" spans="1:5" ht="14.25">
      <c r="A67" s="76" t="s">
        <v>444</v>
      </c>
      <c r="B67" s="74" t="s">
        <v>334</v>
      </c>
      <c r="C67" s="75">
        <f>8*2</f>
        <v>16</v>
      </c>
      <c r="D67" s="75">
        <f>8*2</f>
        <v>16</v>
      </c>
      <c r="E67" s="75" t="s">
        <v>217</v>
      </c>
    </row>
    <row r="68" spans="1:5" ht="14.25">
      <c r="A68" s="76" t="s">
        <v>335</v>
      </c>
      <c r="B68" s="74" t="s">
        <v>128</v>
      </c>
      <c r="C68" s="75">
        <f>5*15*2</f>
        <v>150</v>
      </c>
      <c r="D68" s="75">
        <f>5*12*2</f>
        <v>120</v>
      </c>
      <c r="E68" s="75" t="s">
        <v>217</v>
      </c>
    </row>
    <row r="69" spans="1:4" ht="14.25">
      <c r="A69" s="76" t="s">
        <v>281</v>
      </c>
      <c r="B69" s="74" t="s">
        <v>134</v>
      </c>
      <c r="C69" s="75">
        <f>1*15*2</f>
        <v>30</v>
      </c>
      <c r="D69" s="75">
        <f>1*12*2</f>
        <v>24</v>
      </c>
    </row>
    <row r="70" spans="2:6" ht="15">
      <c r="B70" s="77" t="s">
        <v>249</v>
      </c>
      <c r="C70" s="75">
        <f>SUM(C62:C69)</f>
        <v>1146</v>
      </c>
      <c r="D70" s="75">
        <f>SUM(D62:D69)</f>
        <v>914</v>
      </c>
      <c r="F70" s="74">
        <f>C70/30</f>
        <v>38.2</v>
      </c>
    </row>
    <row r="71" spans="2:6" ht="15">
      <c r="B71" s="77" t="s">
        <v>35</v>
      </c>
      <c r="C71" s="75">
        <f>C61+C70</f>
        <v>1356</v>
      </c>
      <c r="D71" s="75">
        <f>D61+D70</f>
        <v>1082</v>
      </c>
      <c r="F71" s="74">
        <f>C71/30</f>
        <v>45.2</v>
      </c>
    </row>
    <row r="72" spans="2:4" ht="15">
      <c r="B72" s="77" t="s">
        <v>247</v>
      </c>
      <c r="C72" s="75">
        <f>C71/2</f>
        <v>678</v>
      </c>
      <c r="D72" s="75">
        <f>D71/2</f>
        <v>541</v>
      </c>
    </row>
    <row r="74" spans="1:8" ht="15.75" thickBot="1">
      <c r="A74" s="73" t="s">
        <v>4</v>
      </c>
      <c r="H74" s="83"/>
    </row>
    <row r="75" spans="1:7" ht="15.75" thickBot="1">
      <c r="A75" s="81" t="s">
        <v>43</v>
      </c>
      <c r="B75" s="82" t="s">
        <v>44</v>
      </c>
      <c r="C75" s="82" t="s">
        <v>44</v>
      </c>
      <c r="D75" s="83" t="s">
        <v>53</v>
      </c>
      <c r="E75" s="83" t="s">
        <v>45</v>
      </c>
      <c r="F75" s="83" t="s">
        <v>46</v>
      </c>
      <c r="G75" s="83"/>
    </row>
    <row r="76" spans="1:14" ht="12" customHeight="1">
      <c r="A76" s="76" t="s">
        <v>271</v>
      </c>
      <c r="B76" s="74" t="s">
        <v>218</v>
      </c>
      <c r="C76" s="75">
        <v>2.64</v>
      </c>
      <c r="D76" s="75">
        <f aca="true" t="shared" si="0" ref="D76:D85">J76*2</f>
        <v>79.2</v>
      </c>
      <c r="E76" s="75">
        <f aca="true" t="shared" si="1" ref="E76:E85">K76*2</f>
        <v>63.36</v>
      </c>
      <c r="F76" s="75">
        <f aca="true" t="shared" si="2" ref="F76:F85">L76*2</f>
        <v>63.36</v>
      </c>
      <c r="G76" s="131" t="s">
        <v>320</v>
      </c>
      <c r="J76" s="187">
        <f aca="true" t="shared" si="3" ref="J76:J82">C76*15</f>
        <v>39.6</v>
      </c>
      <c r="K76" s="187">
        <f aca="true" t="shared" si="4" ref="K76:K82">C76*12</f>
        <v>31.68</v>
      </c>
      <c r="L76" s="187">
        <f aca="true" t="shared" si="5" ref="L76:L82">C76*12</f>
        <v>31.68</v>
      </c>
      <c r="N76" s="76">
        <f aca="true" t="shared" si="6" ref="N76:N82">C76*20</f>
        <v>52.800000000000004</v>
      </c>
    </row>
    <row r="77" spans="1:14" ht="14.25">
      <c r="A77" s="76" t="s">
        <v>48</v>
      </c>
      <c r="B77" s="74" t="s">
        <v>217</v>
      </c>
      <c r="C77" s="75">
        <v>2.5</v>
      </c>
      <c r="D77" s="75">
        <f t="shared" si="0"/>
        <v>75</v>
      </c>
      <c r="E77" s="75">
        <f t="shared" si="1"/>
        <v>60</v>
      </c>
      <c r="F77" s="75">
        <f t="shared" si="2"/>
        <v>60</v>
      </c>
      <c r="G77" s="131" t="s">
        <v>445</v>
      </c>
      <c r="J77" s="187">
        <f t="shared" si="3"/>
        <v>37.5</v>
      </c>
      <c r="K77" s="187">
        <f t="shared" si="4"/>
        <v>30</v>
      </c>
      <c r="L77" s="187">
        <f t="shared" si="5"/>
        <v>30</v>
      </c>
      <c r="N77" s="76">
        <f t="shared" si="6"/>
        <v>50</v>
      </c>
    </row>
    <row r="78" spans="1:14" ht="14.25">
      <c r="A78" s="76" t="s">
        <v>313</v>
      </c>
      <c r="B78" s="74" t="s">
        <v>218</v>
      </c>
      <c r="C78" s="75">
        <v>0.69</v>
      </c>
      <c r="D78" s="75">
        <f t="shared" si="0"/>
        <v>20.7</v>
      </c>
      <c r="E78" s="75">
        <f t="shared" si="1"/>
        <v>16.56</v>
      </c>
      <c r="F78" s="75">
        <f t="shared" si="2"/>
        <v>16.56</v>
      </c>
      <c r="G78" s="131" t="s">
        <v>321</v>
      </c>
      <c r="J78" s="187">
        <f t="shared" si="3"/>
        <v>10.35</v>
      </c>
      <c r="K78" s="187">
        <f t="shared" si="4"/>
        <v>8.28</v>
      </c>
      <c r="L78" s="187">
        <f t="shared" si="5"/>
        <v>8.28</v>
      </c>
      <c r="N78" s="76">
        <f t="shared" si="6"/>
        <v>13.799999999999999</v>
      </c>
    </row>
    <row r="79" spans="1:14" ht="14.25">
      <c r="A79" s="76" t="s">
        <v>336</v>
      </c>
      <c r="B79" s="74" t="s">
        <v>217</v>
      </c>
      <c r="C79" s="75">
        <v>10</v>
      </c>
      <c r="D79" s="75">
        <f t="shared" si="0"/>
        <v>300</v>
      </c>
      <c r="E79" s="75">
        <f t="shared" si="1"/>
        <v>240</v>
      </c>
      <c r="F79" s="75">
        <f t="shared" si="2"/>
        <v>240</v>
      </c>
      <c r="G79" s="131" t="s">
        <v>446</v>
      </c>
      <c r="J79" s="187">
        <f t="shared" si="3"/>
        <v>150</v>
      </c>
      <c r="K79" s="187">
        <f t="shared" si="4"/>
        <v>120</v>
      </c>
      <c r="L79" s="187">
        <f t="shared" si="5"/>
        <v>120</v>
      </c>
      <c r="N79" s="76">
        <f t="shared" si="6"/>
        <v>200</v>
      </c>
    </row>
    <row r="80" spans="1:14" ht="14.25">
      <c r="A80" s="76" t="s">
        <v>72</v>
      </c>
      <c r="B80" s="74" t="s">
        <v>218</v>
      </c>
      <c r="C80" s="75">
        <v>2.65</v>
      </c>
      <c r="D80" s="75">
        <f t="shared" si="0"/>
        <v>79.5</v>
      </c>
      <c r="E80" s="75">
        <f t="shared" si="1"/>
        <v>63.599999999999994</v>
      </c>
      <c r="F80" s="75">
        <f t="shared" si="2"/>
        <v>63.599999999999994</v>
      </c>
      <c r="G80" s="131" t="s">
        <v>323</v>
      </c>
      <c r="J80" s="187">
        <f t="shared" si="3"/>
        <v>39.75</v>
      </c>
      <c r="K80" s="187">
        <f t="shared" si="4"/>
        <v>31.799999999999997</v>
      </c>
      <c r="L80" s="187">
        <f t="shared" si="5"/>
        <v>31.799999999999997</v>
      </c>
      <c r="N80" s="76">
        <f t="shared" si="6"/>
        <v>53</v>
      </c>
    </row>
    <row r="81" spans="1:14" ht="14.25">
      <c r="A81" s="76" t="s">
        <v>277</v>
      </c>
      <c r="B81" s="74" t="s">
        <v>217</v>
      </c>
      <c r="C81" s="75">
        <v>8.44</v>
      </c>
      <c r="D81" s="75">
        <f t="shared" si="0"/>
        <v>253.2</v>
      </c>
      <c r="E81" s="75">
        <f t="shared" si="1"/>
        <v>202.56</v>
      </c>
      <c r="F81" s="75">
        <f t="shared" si="2"/>
        <v>202.56</v>
      </c>
      <c r="G81" s="131" t="s">
        <v>322</v>
      </c>
      <c r="J81" s="187">
        <f t="shared" si="3"/>
        <v>126.6</v>
      </c>
      <c r="K81" s="187">
        <f t="shared" si="4"/>
        <v>101.28</v>
      </c>
      <c r="L81" s="187">
        <f t="shared" si="5"/>
        <v>101.28</v>
      </c>
      <c r="N81" s="76">
        <f t="shared" si="6"/>
        <v>168.79999999999998</v>
      </c>
    </row>
    <row r="82" spans="1:14" ht="14.25">
      <c r="A82" s="76" t="s">
        <v>69</v>
      </c>
      <c r="B82" s="74" t="s">
        <v>218</v>
      </c>
      <c r="C82" s="75">
        <v>7.25</v>
      </c>
      <c r="D82" s="75">
        <f t="shared" si="0"/>
        <v>217.5</v>
      </c>
      <c r="E82" s="75">
        <f t="shared" si="1"/>
        <v>174</v>
      </c>
      <c r="F82" s="75">
        <f t="shared" si="2"/>
        <v>174</v>
      </c>
      <c r="G82" s="131" t="s">
        <v>324</v>
      </c>
      <c r="J82" s="187">
        <f t="shared" si="3"/>
        <v>108.75</v>
      </c>
      <c r="K82" s="187">
        <f t="shared" si="4"/>
        <v>87</v>
      </c>
      <c r="L82" s="187">
        <f t="shared" si="5"/>
        <v>87</v>
      </c>
      <c r="N82" s="76">
        <f t="shared" si="6"/>
        <v>145</v>
      </c>
    </row>
    <row r="83" spans="1:12" ht="14.25">
      <c r="A83" s="76" t="s">
        <v>314</v>
      </c>
      <c r="B83" s="74" t="s">
        <v>217</v>
      </c>
      <c r="C83" s="75">
        <v>12</v>
      </c>
      <c r="D83" s="75">
        <f t="shared" si="0"/>
        <v>360</v>
      </c>
      <c r="E83" s="75">
        <f t="shared" si="1"/>
        <v>0</v>
      </c>
      <c r="F83" s="75">
        <f t="shared" si="2"/>
        <v>0</v>
      </c>
      <c r="G83" s="74" t="s">
        <v>322</v>
      </c>
      <c r="J83" s="189">
        <f>C83*15</f>
        <v>180</v>
      </c>
      <c r="K83" s="188"/>
      <c r="L83" s="188"/>
    </row>
    <row r="84" spans="1:14" ht="14.25">
      <c r="A84" s="76" t="s">
        <v>315</v>
      </c>
      <c r="B84" s="74" t="s">
        <v>217</v>
      </c>
      <c r="C84" s="75">
        <v>12.05</v>
      </c>
      <c r="D84" s="75">
        <f t="shared" si="0"/>
        <v>0</v>
      </c>
      <c r="E84" s="75">
        <f t="shared" si="1"/>
        <v>289.20000000000005</v>
      </c>
      <c r="F84" s="75">
        <f t="shared" si="2"/>
        <v>0</v>
      </c>
      <c r="G84" s="74" t="s">
        <v>325</v>
      </c>
      <c r="J84" s="190"/>
      <c r="K84" s="187">
        <f>C84*12</f>
        <v>144.60000000000002</v>
      </c>
      <c r="L84" s="188"/>
      <c r="N84" s="76">
        <f>C84*20</f>
        <v>241</v>
      </c>
    </row>
    <row r="85" spans="1:14" ht="14.25">
      <c r="A85" s="76" t="s">
        <v>316</v>
      </c>
      <c r="B85" s="74" t="s">
        <v>217</v>
      </c>
      <c r="C85" s="75">
        <v>15.5</v>
      </c>
      <c r="D85" s="75">
        <f t="shared" si="0"/>
        <v>0</v>
      </c>
      <c r="E85" s="75">
        <f t="shared" si="1"/>
        <v>0</v>
      </c>
      <c r="F85" s="75">
        <f t="shared" si="2"/>
        <v>372</v>
      </c>
      <c r="G85" s="74" t="s">
        <v>325</v>
      </c>
      <c r="J85" s="191"/>
      <c r="K85" s="191"/>
      <c r="L85" s="192">
        <f>C85*12</f>
        <v>186</v>
      </c>
      <c r="N85" s="76">
        <f>SUM(N76:N84)</f>
        <v>924.4</v>
      </c>
    </row>
    <row r="86" ht="14.25">
      <c r="F86" s="75"/>
    </row>
    <row r="87" spans="1:7" ht="14.25">
      <c r="A87" s="78"/>
      <c r="B87" s="79"/>
      <c r="C87" s="80"/>
      <c r="D87" s="80"/>
      <c r="E87" s="80"/>
      <c r="F87" s="80"/>
      <c r="G87" s="80"/>
    </row>
    <row r="88" spans="3:7" ht="14.25">
      <c r="C88" s="75">
        <f>SUM(C76:C87)</f>
        <v>73.72</v>
      </c>
      <c r="D88" s="75">
        <f>SUM(D76:D87)</f>
        <v>1385.1</v>
      </c>
      <c r="E88" s="75">
        <f>SUM(E76:E87)</f>
        <v>1109.28</v>
      </c>
      <c r="F88" s="75">
        <f>SUM(F76:F87)</f>
        <v>1192.08</v>
      </c>
      <c r="G88" s="75"/>
    </row>
    <row r="89" spans="3:7" ht="14.25">
      <c r="C89" s="75">
        <f>C88/2</f>
        <v>36.86</v>
      </c>
      <c r="D89" s="75">
        <f>D88/2</f>
        <v>692.55</v>
      </c>
      <c r="E89" s="75">
        <f>E88/2</f>
        <v>554.64</v>
      </c>
      <c r="F89" s="75">
        <f>F88/2</f>
        <v>596.04</v>
      </c>
      <c r="G89" s="75"/>
    </row>
    <row r="90" spans="3:7" ht="15">
      <c r="C90" s="296" t="s">
        <v>305</v>
      </c>
      <c r="D90" s="75">
        <f>SUMIF($B$76:$B$85,"E&amp;G",D76:D85)</f>
        <v>988.2</v>
      </c>
      <c r="E90" s="75">
        <f>SUMIF($B$76:$B$85,"E&amp;G",E76:E85)</f>
        <v>791.76</v>
      </c>
      <c r="F90" s="75">
        <f>SUMIF($B$76:$B$86,"E&amp;G",F76:F86)</f>
        <v>874.56</v>
      </c>
      <c r="G90" s="75"/>
    </row>
    <row r="91" spans="3:7" ht="15">
      <c r="C91" s="296" t="s">
        <v>306</v>
      </c>
      <c r="D91" s="75">
        <f>SUMIF($B$76:$B$85,"AUX",D76:D85)</f>
        <v>396.9</v>
      </c>
      <c r="E91" s="75">
        <f>SUMIF($B$76:$B$85,"AUX",E76:E85)</f>
        <v>317.52</v>
      </c>
      <c r="F91" s="75">
        <f>SUMIF($B$76:$B$86,"AUX",F76:F86)</f>
        <v>317.52</v>
      </c>
      <c r="G91" s="75"/>
    </row>
    <row r="92" spans="3:7" ht="15">
      <c r="C92" s="296" t="s">
        <v>35</v>
      </c>
      <c r="D92" s="75">
        <f>SUM(D90:D91)</f>
        <v>1385.1</v>
      </c>
      <c r="E92" s="75">
        <f>SUM(E90:E91)</f>
        <v>1109.28</v>
      </c>
      <c r="F92" s="75">
        <f>SUM(F90:F91)</f>
        <v>1192.08</v>
      </c>
      <c r="G92" s="75"/>
    </row>
    <row r="93" spans="1:7" ht="15">
      <c r="A93" s="73" t="s">
        <v>456</v>
      </c>
      <c r="C93" s="296"/>
      <c r="F93" s="75"/>
      <c r="G93" s="75"/>
    </row>
    <row r="94" spans="1:7" ht="15.75" thickBot="1">
      <c r="A94" s="81" t="s">
        <v>43</v>
      </c>
      <c r="B94" s="82" t="s">
        <v>44</v>
      </c>
      <c r="C94" s="82" t="s">
        <v>458</v>
      </c>
      <c r="D94" s="83" t="s">
        <v>45</v>
      </c>
      <c r="E94" s="83" t="s">
        <v>216</v>
      </c>
      <c r="F94" s="75"/>
      <c r="G94" s="75"/>
    </row>
    <row r="95" spans="1:7" ht="14.25">
      <c r="A95" s="76" t="s">
        <v>459</v>
      </c>
      <c r="B95" s="74" t="s">
        <v>457</v>
      </c>
      <c r="C95" s="75" t="s">
        <v>426</v>
      </c>
      <c r="D95" s="75">
        <f>20*12*2</f>
        <v>480</v>
      </c>
      <c r="E95" s="75" t="s">
        <v>217</v>
      </c>
      <c r="G95" s="75"/>
    </row>
    <row r="96" spans="2:4" ht="15">
      <c r="B96" s="77" t="s">
        <v>249</v>
      </c>
      <c r="C96" s="75" t="s">
        <v>426</v>
      </c>
      <c r="D96" s="75">
        <f>SUM(D95)</f>
        <v>480</v>
      </c>
    </row>
    <row r="97" spans="2:4" ht="15">
      <c r="B97" s="77" t="s">
        <v>460</v>
      </c>
      <c r="C97" s="75" t="s">
        <v>426</v>
      </c>
      <c r="D97" s="75">
        <v>0</v>
      </c>
    </row>
    <row r="98" spans="2:4" ht="15">
      <c r="B98" s="77" t="s">
        <v>35</v>
      </c>
      <c r="C98" s="75" t="s">
        <v>426</v>
      </c>
      <c r="D98" s="75">
        <f>SUM(D96:D97)</f>
        <v>480</v>
      </c>
    </row>
    <row r="99" spans="1:2" ht="15">
      <c r="A99" s="73" t="s">
        <v>83</v>
      </c>
      <c r="B99" s="77" t="s">
        <v>247</v>
      </c>
    </row>
    <row r="100" ht="15">
      <c r="A100" s="73"/>
    </row>
    <row r="101" spans="1:4" ht="15.75" thickBot="1">
      <c r="A101" s="81" t="s">
        <v>43</v>
      </c>
      <c r="B101" s="82" t="s">
        <v>44</v>
      </c>
      <c r="C101" s="83" t="s">
        <v>53</v>
      </c>
      <c r="D101" s="83" t="s">
        <v>216</v>
      </c>
    </row>
    <row r="102" spans="1:4" ht="14.25">
      <c r="A102" s="76" t="s">
        <v>85</v>
      </c>
      <c r="B102" s="74" t="s">
        <v>358</v>
      </c>
      <c r="C102" s="75">
        <f>13*15*2</f>
        <v>390</v>
      </c>
      <c r="D102" s="75" t="s">
        <v>218</v>
      </c>
    </row>
    <row r="103" spans="1:4" ht="14.25">
      <c r="A103" s="76" t="s">
        <v>50</v>
      </c>
      <c r="B103" s="74" t="s">
        <v>447</v>
      </c>
      <c r="C103" s="75">
        <f>16*15*2</f>
        <v>480</v>
      </c>
      <c r="D103" s="75" t="s">
        <v>218</v>
      </c>
    </row>
    <row r="104" spans="1:3" ht="15">
      <c r="A104" s="305"/>
      <c r="B104" s="77" t="s">
        <v>248</v>
      </c>
      <c r="C104" s="75">
        <f>SUM(C102:C103)</f>
        <v>870</v>
      </c>
    </row>
    <row r="105" spans="1:4" ht="14.25">
      <c r="A105" s="76" t="s">
        <v>86</v>
      </c>
      <c r="B105" s="74" t="s">
        <v>120</v>
      </c>
      <c r="C105" s="75">
        <f>2*15*2</f>
        <v>60</v>
      </c>
      <c r="D105" s="75" t="s">
        <v>217</v>
      </c>
    </row>
    <row r="106" spans="1:4" ht="14.25">
      <c r="A106" s="76" t="s">
        <v>69</v>
      </c>
      <c r="B106" s="74" t="s">
        <v>379</v>
      </c>
      <c r="C106" s="75">
        <f>34*2</f>
        <v>68</v>
      </c>
      <c r="D106" s="75" t="s">
        <v>217</v>
      </c>
    </row>
    <row r="107" spans="1:4" ht="14.25">
      <c r="A107" s="76" t="s">
        <v>179</v>
      </c>
      <c r="B107" s="74" t="s">
        <v>380</v>
      </c>
      <c r="C107" s="75">
        <f>12*2</f>
        <v>24</v>
      </c>
      <c r="D107" s="75" t="s">
        <v>217</v>
      </c>
    </row>
    <row r="108" spans="1:4" ht="14.25">
      <c r="A108" s="76" t="s">
        <v>359</v>
      </c>
      <c r="B108" s="74" t="s">
        <v>153</v>
      </c>
      <c r="C108" s="75">
        <f>25*2</f>
        <v>50</v>
      </c>
      <c r="D108" s="75" t="s">
        <v>217</v>
      </c>
    </row>
    <row r="109" spans="1:4" ht="14.25">
      <c r="A109" s="76" t="s">
        <v>59</v>
      </c>
      <c r="B109" s="74" t="s">
        <v>358</v>
      </c>
      <c r="C109" s="75">
        <f>13*15*2</f>
        <v>390</v>
      </c>
      <c r="D109" s="75" t="s">
        <v>217</v>
      </c>
    </row>
    <row r="110" spans="1:4" ht="14.25">
      <c r="A110" s="76" t="s">
        <v>48</v>
      </c>
      <c r="B110" s="74" t="s">
        <v>119</v>
      </c>
      <c r="C110" s="75">
        <f>3*15*2</f>
        <v>90</v>
      </c>
      <c r="D110" s="75" t="s">
        <v>217</v>
      </c>
    </row>
    <row r="111" spans="1:4" ht="14.25">
      <c r="A111" s="76" t="s">
        <v>336</v>
      </c>
      <c r="B111" s="74" t="s">
        <v>119</v>
      </c>
      <c r="C111" s="75">
        <f>3*15*2</f>
        <v>90</v>
      </c>
      <c r="D111" s="75" t="s">
        <v>217</v>
      </c>
    </row>
    <row r="112" spans="1:4" ht="14.25">
      <c r="A112" s="76" t="s">
        <v>311</v>
      </c>
      <c r="B112" s="74" t="s">
        <v>128</v>
      </c>
      <c r="C112" s="75">
        <f>5*15*2</f>
        <v>150</v>
      </c>
      <c r="D112" s="75" t="s">
        <v>217</v>
      </c>
    </row>
    <row r="113" spans="2:3" ht="15">
      <c r="B113" s="77" t="s">
        <v>249</v>
      </c>
      <c r="C113" s="75">
        <f>SUM(C105:C112)</f>
        <v>922</v>
      </c>
    </row>
    <row r="114" spans="2:3" ht="15">
      <c r="B114" s="77" t="s">
        <v>35</v>
      </c>
      <c r="C114" s="75">
        <f>C104+C113</f>
        <v>1792</v>
      </c>
    </row>
    <row r="115" spans="2:3" ht="15">
      <c r="B115" s="77" t="s">
        <v>247</v>
      </c>
      <c r="C115" s="75">
        <f>C114/2</f>
        <v>896</v>
      </c>
    </row>
    <row r="116" spans="1:7" ht="15">
      <c r="A116" s="73" t="s">
        <v>5</v>
      </c>
      <c r="G116" s="76"/>
    </row>
    <row r="117" spans="1:7" ht="15.75" thickBot="1">
      <c r="A117" s="81" t="s">
        <v>43</v>
      </c>
      <c r="B117" s="82" t="s">
        <v>44</v>
      </c>
      <c r="C117" s="83" t="s">
        <v>46</v>
      </c>
      <c r="D117" s="83" t="s">
        <v>53</v>
      </c>
      <c r="E117" s="83" t="s">
        <v>155</v>
      </c>
      <c r="F117" s="83" t="s">
        <v>216</v>
      </c>
      <c r="G117" s="76"/>
    </row>
    <row r="118" spans="1:7" ht="14.25">
      <c r="A118" s="367" t="s">
        <v>50</v>
      </c>
      <c r="B118" s="74" t="s">
        <v>522</v>
      </c>
      <c r="C118" s="370"/>
      <c r="D118" s="75">
        <f>17.25*15*2</f>
        <v>517.5</v>
      </c>
      <c r="E118" s="75">
        <f>17.25*12*2</f>
        <v>414</v>
      </c>
      <c r="F118" s="135" t="s">
        <v>218</v>
      </c>
      <c r="G118" s="76"/>
    </row>
    <row r="119" spans="1:7" ht="15">
      <c r="A119" s="368"/>
      <c r="B119" s="77" t="s">
        <v>248</v>
      </c>
      <c r="C119" s="75">
        <f>SUM(C118)</f>
        <v>0</v>
      </c>
      <c r="D119" s="75">
        <f>SUM(D118)</f>
        <v>517.5</v>
      </c>
      <c r="E119" s="75">
        <f>SUM(E118)</f>
        <v>414</v>
      </c>
      <c r="F119" s="135"/>
      <c r="G119" s="76"/>
    </row>
    <row r="120" spans="1:7" ht="14.25">
      <c r="A120" s="367" t="s">
        <v>356</v>
      </c>
      <c r="B120" s="74" t="s">
        <v>536</v>
      </c>
      <c r="C120" s="75">
        <f>13.8*2</f>
        <v>27.6</v>
      </c>
      <c r="D120" s="370"/>
      <c r="E120" s="370"/>
      <c r="F120" s="135" t="s">
        <v>217</v>
      </c>
      <c r="G120" s="76"/>
    </row>
    <row r="121" spans="1:7" ht="14.25">
      <c r="A121" s="367" t="s">
        <v>70</v>
      </c>
      <c r="B121" s="74" t="s">
        <v>130</v>
      </c>
      <c r="C121" s="75">
        <f>20*2</f>
        <v>40</v>
      </c>
      <c r="D121" s="370"/>
      <c r="E121" s="370"/>
      <c r="F121" s="135" t="s">
        <v>217</v>
      </c>
      <c r="G121" s="76"/>
    </row>
    <row r="122" spans="1:7" ht="14.25">
      <c r="A122" s="367" t="s">
        <v>49</v>
      </c>
      <c r="B122" s="74" t="s">
        <v>136</v>
      </c>
      <c r="C122" s="75">
        <f>5*2</f>
        <v>10</v>
      </c>
      <c r="D122" s="370"/>
      <c r="E122" s="370"/>
      <c r="F122" s="135" t="s">
        <v>217</v>
      </c>
      <c r="G122" s="76"/>
    </row>
    <row r="123" spans="1:7" ht="14.25">
      <c r="A123" s="367" t="s">
        <v>84</v>
      </c>
      <c r="B123" s="74" t="s">
        <v>525</v>
      </c>
      <c r="C123" s="75">
        <f>545.7*2</f>
        <v>1091.4</v>
      </c>
      <c r="D123" s="370"/>
      <c r="E123" s="370"/>
      <c r="F123" s="135" t="s">
        <v>217</v>
      </c>
      <c r="G123" s="76"/>
    </row>
    <row r="124" spans="1:6" ht="14.25">
      <c r="A124" s="367" t="s">
        <v>88</v>
      </c>
      <c r="B124" s="74" t="s">
        <v>450</v>
      </c>
      <c r="C124" s="370"/>
      <c r="D124" s="75">
        <f>18*15*2</f>
        <v>540</v>
      </c>
      <c r="E124" s="75">
        <f>18*12*2</f>
        <v>432</v>
      </c>
      <c r="F124" s="135" t="s">
        <v>217</v>
      </c>
    </row>
    <row r="125" spans="1:6" ht="14.25">
      <c r="A125" s="367" t="s">
        <v>448</v>
      </c>
      <c r="B125" s="74" t="s">
        <v>401</v>
      </c>
      <c r="C125" s="370"/>
      <c r="D125" s="75">
        <f>2.75*15*2</f>
        <v>82.5</v>
      </c>
      <c r="E125" s="75">
        <f>2.75*12*2</f>
        <v>66</v>
      </c>
      <c r="F125" s="135" t="s">
        <v>217</v>
      </c>
    </row>
    <row r="126" spans="1:6" ht="14.25">
      <c r="A126" s="367" t="s">
        <v>317</v>
      </c>
      <c r="B126" s="74" t="s">
        <v>524</v>
      </c>
      <c r="C126" s="75">
        <f>61.75*2</f>
        <v>123.5</v>
      </c>
      <c r="D126" s="370"/>
      <c r="E126" s="370"/>
      <c r="F126" s="135" t="s">
        <v>217</v>
      </c>
    </row>
    <row r="127" spans="1:6" ht="14.25">
      <c r="A127" s="367" t="s">
        <v>156</v>
      </c>
      <c r="B127" s="74" t="s">
        <v>523</v>
      </c>
      <c r="C127" s="75">
        <f>11.1*12*2</f>
        <v>266.4</v>
      </c>
      <c r="D127" s="370"/>
      <c r="E127" s="370"/>
      <c r="F127" s="135" t="s">
        <v>217</v>
      </c>
    </row>
    <row r="128" spans="1:6" ht="14.25">
      <c r="A128" s="367" t="s">
        <v>423</v>
      </c>
      <c r="B128" s="74" t="s">
        <v>124</v>
      </c>
      <c r="C128" s="75">
        <f>10*2</f>
        <v>20</v>
      </c>
      <c r="D128" s="370"/>
      <c r="E128" s="370"/>
      <c r="F128" s="135" t="s">
        <v>217</v>
      </c>
    </row>
    <row r="129" spans="1:6" ht="14.25">
      <c r="A129" s="367" t="s">
        <v>69</v>
      </c>
      <c r="B129" s="74" t="s">
        <v>449</v>
      </c>
      <c r="C129" s="370"/>
      <c r="D129" s="75">
        <f>2.2*15*2</f>
        <v>66</v>
      </c>
      <c r="E129" s="75">
        <f>2.2*12*2</f>
        <v>52.800000000000004</v>
      </c>
      <c r="F129" s="135" t="s">
        <v>217</v>
      </c>
    </row>
    <row r="130" spans="1:6" ht="14.25">
      <c r="A130" s="369" t="s">
        <v>59</v>
      </c>
      <c r="B130" s="85" t="s">
        <v>550</v>
      </c>
      <c r="C130" s="371"/>
      <c r="D130" s="86">
        <f>12.3*15*2</f>
        <v>369</v>
      </c>
      <c r="E130" s="86">
        <f>12.3*12*2</f>
        <v>295.20000000000005</v>
      </c>
      <c r="F130" s="135" t="s">
        <v>217</v>
      </c>
    </row>
    <row r="131" spans="1:6" ht="14.25">
      <c r="A131" s="369" t="s">
        <v>336</v>
      </c>
      <c r="B131" s="85" t="s">
        <v>148</v>
      </c>
      <c r="C131" s="86">
        <f>8*12*2</f>
        <v>192</v>
      </c>
      <c r="D131" s="86">
        <f>8*15*2</f>
        <v>240</v>
      </c>
      <c r="E131" s="86">
        <f>8*12*2</f>
        <v>192</v>
      </c>
      <c r="F131" s="135" t="s">
        <v>217</v>
      </c>
    </row>
    <row r="132" spans="1:6" ht="14.25">
      <c r="A132" s="84" t="s">
        <v>331</v>
      </c>
      <c r="B132" s="85" t="s">
        <v>153</v>
      </c>
      <c r="C132" s="86">
        <f>25*2</f>
        <v>50</v>
      </c>
      <c r="D132" s="86">
        <f>25*2</f>
        <v>50</v>
      </c>
      <c r="E132" s="86">
        <f>25*2</f>
        <v>50</v>
      </c>
      <c r="F132" s="135"/>
    </row>
    <row r="133" spans="1:6" ht="15">
      <c r="A133" s="78"/>
      <c r="B133" s="263" t="s">
        <v>249</v>
      </c>
      <c r="C133" s="80">
        <f>SUM(C120:C132)</f>
        <v>1820.9</v>
      </c>
      <c r="D133" s="80">
        <f>SUM(D120:D132)</f>
        <v>1347.5</v>
      </c>
      <c r="E133" s="80">
        <f>SUM(E120:E132)</f>
        <v>1088</v>
      </c>
      <c r="F133" s="80"/>
    </row>
    <row r="134" spans="2:9" ht="15">
      <c r="B134" s="77" t="s">
        <v>35</v>
      </c>
      <c r="C134" s="75">
        <f>C133+C119</f>
        <v>1820.9</v>
      </c>
      <c r="D134" s="75">
        <f>D133+D119</f>
        <v>1865</v>
      </c>
      <c r="E134" s="75">
        <f>E133+E119</f>
        <v>1502</v>
      </c>
      <c r="G134" s="74">
        <f>C134/2</f>
        <v>910.45</v>
      </c>
      <c r="H134" s="74">
        <f>D134/2</f>
        <v>932.5</v>
      </c>
      <c r="I134" s="74">
        <f>E134/2</f>
        <v>751</v>
      </c>
    </row>
    <row r="135" spans="2:8" ht="15">
      <c r="B135" s="77" t="s">
        <v>247</v>
      </c>
      <c r="C135" s="75">
        <f>C134/2</f>
        <v>910.45</v>
      </c>
      <c r="D135" s="75">
        <f>D134/2</f>
        <v>932.5</v>
      </c>
      <c r="E135" s="75">
        <f>E134/2</f>
        <v>751</v>
      </c>
      <c r="G135" s="75"/>
      <c r="H135" s="133"/>
    </row>
    <row r="136" spans="1:11" ht="15">
      <c r="A136" s="73" t="s">
        <v>6</v>
      </c>
      <c r="K136" s="75">
        <f>13*20</f>
        <v>260</v>
      </c>
    </row>
    <row r="137" spans="1:11" ht="15.75" thickBot="1">
      <c r="A137" s="81" t="s">
        <v>43</v>
      </c>
      <c r="B137" s="82" t="s">
        <v>44</v>
      </c>
      <c r="C137" s="83" t="s">
        <v>53</v>
      </c>
      <c r="D137" s="83" t="s">
        <v>155</v>
      </c>
      <c r="E137" s="83" t="s">
        <v>278</v>
      </c>
      <c r="F137" s="83" t="s">
        <v>216</v>
      </c>
      <c r="K137" s="75">
        <f>11*20</f>
        <v>220</v>
      </c>
    </row>
    <row r="138" spans="1:6" ht="14.25">
      <c r="A138" s="76" t="s">
        <v>50</v>
      </c>
      <c r="B138" s="74" t="s">
        <v>358</v>
      </c>
      <c r="C138" s="75">
        <f>13*15*2</f>
        <v>390</v>
      </c>
      <c r="D138" s="75">
        <f>13*12*2</f>
        <v>312</v>
      </c>
      <c r="F138" s="75" t="s">
        <v>218</v>
      </c>
    </row>
    <row r="139" spans="1:11" ht="14.25">
      <c r="A139" s="76" t="s">
        <v>60</v>
      </c>
      <c r="B139" s="74" t="s">
        <v>358</v>
      </c>
      <c r="C139" s="75">
        <f>13*15*2</f>
        <v>390</v>
      </c>
      <c r="D139" s="75">
        <f>13*12*2</f>
        <v>312</v>
      </c>
      <c r="F139" s="75" t="s">
        <v>218</v>
      </c>
      <c r="K139" s="76">
        <f>11*20</f>
        <v>220</v>
      </c>
    </row>
    <row r="140" spans="1:11" ht="15">
      <c r="A140" s="305"/>
      <c r="B140" s="77" t="s">
        <v>248</v>
      </c>
      <c r="C140" s="75">
        <f>SUM(C138:C139)</f>
        <v>780</v>
      </c>
      <c r="D140" s="75">
        <f>SUM(D138:D139)</f>
        <v>624</v>
      </c>
      <c r="E140" s="75">
        <f>SUM(E138)</f>
        <v>0</v>
      </c>
      <c r="F140" s="75"/>
      <c r="K140" s="76">
        <f>5*20</f>
        <v>100</v>
      </c>
    </row>
    <row r="141" spans="1:6" ht="14.25">
      <c r="A141" s="76" t="s">
        <v>85</v>
      </c>
      <c r="B141" s="74" t="s">
        <v>128</v>
      </c>
      <c r="C141" s="75">
        <f>5*15*2</f>
        <v>150</v>
      </c>
      <c r="D141" s="75">
        <f>5*12*2</f>
        <v>120</v>
      </c>
      <c r="F141" s="75" t="s">
        <v>217</v>
      </c>
    </row>
    <row r="142" spans="1:11" ht="14.25">
      <c r="A142" s="76" t="s">
        <v>65</v>
      </c>
      <c r="B142" s="74" t="s">
        <v>136</v>
      </c>
      <c r="C142" s="75">
        <f>5*2</f>
        <v>10</v>
      </c>
      <c r="E142" s="75">
        <f>5*2</f>
        <v>10</v>
      </c>
      <c r="F142" s="75" t="s">
        <v>217</v>
      </c>
      <c r="K142" s="76">
        <f>8*20</f>
        <v>160</v>
      </c>
    </row>
    <row r="143" spans="1:11" ht="14.25">
      <c r="A143" s="76" t="s">
        <v>67</v>
      </c>
      <c r="B143" s="74" t="s">
        <v>376</v>
      </c>
      <c r="C143" s="75">
        <f>9*15*2</f>
        <v>270</v>
      </c>
      <c r="D143" s="75">
        <f>9*12*2</f>
        <v>216</v>
      </c>
      <c r="F143" s="75" t="s">
        <v>217</v>
      </c>
      <c r="K143" s="76">
        <f>4*20</f>
        <v>80</v>
      </c>
    </row>
    <row r="144" spans="1:6" ht="14.25">
      <c r="A144" s="76" t="s">
        <v>48</v>
      </c>
      <c r="B144" s="74" t="s">
        <v>126</v>
      </c>
      <c r="C144" s="75">
        <f>4*15*2</f>
        <v>120</v>
      </c>
      <c r="D144" s="75">
        <f>4*12*2</f>
        <v>96</v>
      </c>
      <c r="F144" s="75" t="s">
        <v>217</v>
      </c>
    </row>
    <row r="145" spans="1:7" ht="14.25">
      <c r="A145" s="76" t="s">
        <v>281</v>
      </c>
      <c r="B145" s="74" t="s">
        <v>120</v>
      </c>
      <c r="C145" s="75">
        <f>2*15*2</f>
        <v>60</v>
      </c>
      <c r="D145" s="75">
        <f>2*12*2</f>
        <v>48</v>
      </c>
      <c r="F145" s="75" t="s">
        <v>217</v>
      </c>
      <c r="G145" s="135"/>
    </row>
    <row r="146" spans="1:7" ht="14.25">
      <c r="A146" s="76" t="s">
        <v>279</v>
      </c>
      <c r="B146" s="74" t="s">
        <v>527</v>
      </c>
      <c r="C146" s="75">
        <f>13.4*15*2</f>
        <v>402</v>
      </c>
      <c r="D146" s="75">
        <f>13.4*12*2</f>
        <v>321.6</v>
      </c>
      <c r="E146" s="75">
        <f>8.69*15*2</f>
        <v>260.7</v>
      </c>
      <c r="F146" s="75" t="s">
        <v>217</v>
      </c>
      <c r="G146" s="135"/>
    </row>
    <row r="147" spans="1:11" ht="14.25">
      <c r="A147" s="76" t="s">
        <v>403</v>
      </c>
      <c r="B147" s="74" t="s">
        <v>120</v>
      </c>
      <c r="C147" s="75">
        <f>2*15*2</f>
        <v>60</v>
      </c>
      <c r="D147" s="75">
        <f>2*12*2</f>
        <v>48</v>
      </c>
      <c r="F147" s="75" t="s">
        <v>217</v>
      </c>
      <c r="G147" s="135"/>
      <c r="K147" s="133">
        <f>SUM(K136:K143)</f>
        <v>1040</v>
      </c>
    </row>
    <row r="148" spans="1:5" ht="14.25">
      <c r="A148" s="76" t="s">
        <v>337</v>
      </c>
      <c r="B148" s="74" t="s">
        <v>119</v>
      </c>
      <c r="E148" s="75">
        <f>3*15*2</f>
        <v>90</v>
      </c>
    </row>
    <row r="149" spans="2:5" ht="15">
      <c r="B149" s="215" t="s">
        <v>249</v>
      </c>
      <c r="C149" s="75">
        <f>SUM(C141:C148)</f>
        <v>1072</v>
      </c>
      <c r="D149" s="75">
        <f>SUM(D141:D148)</f>
        <v>849.6</v>
      </c>
      <c r="E149" s="75">
        <f>SUM(E141:E148)</f>
        <v>360.7</v>
      </c>
    </row>
    <row r="150" spans="2:6" ht="15">
      <c r="B150" s="77" t="s">
        <v>35</v>
      </c>
      <c r="C150" s="75">
        <f>C149+C140</f>
        <v>1852</v>
      </c>
      <c r="D150" s="75">
        <f>D149+D140</f>
        <v>1473.6</v>
      </c>
      <c r="E150" s="75">
        <f>E149+E140</f>
        <v>360.7</v>
      </c>
      <c r="F150" s="75"/>
    </row>
    <row r="151" spans="2:7" ht="15">
      <c r="B151" s="77" t="s">
        <v>247</v>
      </c>
      <c r="C151" s="75">
        <f>C150/2</f>
        <v>926</v>
      </c>
      <c r="D151" s="75">
        <f>D150/2</f>
        <v>736.8</v>
      </c>
      <c r="E151" s="75">
        <f>E150/2</f>
        <v>180.35</v>
      </c>
      <c r="G151" s="75"/>
    </row>
    <row r="152" ht="14.25">
      <c r="A152" s="164" t="s">
        <v>526</v>
      </c>
    </row>
    <row r="154" ht="15">
      <c r="A154" s="73" t="s">
        <v>7</v>
      </c>
    </row>
    <row r="155" spans="1:5" ht="15.75" thickBot="1">
      <c r="A155" s="81" t="s">
        <v>43</v>
      </c>
      <c r="B155" s="82" t="s">
        <v>44</v>
      </c>
      <c r="C155" s="83" t="s">
        <v>53</v>
      </c>
      <c r="D155" s="83" t="s">
        <v>155</v>
      </c>
      <c r="E155" s="83" t="s">
        <v>216</v>
      </c>
    </row>
    <row r="156" spans="1:5" ht="14.25">
      <c r="A156" s="76" t="s">
        <v>50</v>
      </c>
      <c r="B156" s="74" t="s">
        <v>383</v>
      </c>
      <c r="C156" s="75">
        <f>17*15*2</f>
        <v>510</v>
      </c>
      <c r="D156" s="75">
        <f>17*12*2</f>
        <v>408</v>
      </c>
      <c r="E156" s="75" t="s">
        <v>218</v>
      </c>
    </row>
    <row r="157" spans="1:5" ht="14.25">
      <c r="A157" s="76" t="s">
        <v>72</v>
      </c>
      <c r="B157" s="74" t="s">
        <v>404</v>
      </c>
      <c r="C157" s="75">
        <f>1.5*15*2</f>
        <v>45</v>
      </c>
      <c r="D157" s="75">
        <f>1.5*12*2</f>
        <v>36</v>
      </c>
      <c r="E157" s="75" t="s">
        <v>218</v>
      </c>
    </row>
    <row r="158" spans="1:4" ht="15">
      <c r="A158" s="305"/>
      <c r="B158" s="77" t="s">
        <v>248</v>
      </c>
      <c r="C158" s="75">
        <f>SUM(C156:C157)</f>
        <v>555</v>
      </c>
      <c r="D158" s="75">
        <f>SUM(D156:D157)</f>
        <v>444</v>
      </c>
    </row>
    <row r="159" spans="1:5" ht="14.25">
      <c r="A159" s="76" t="s">
        <v>85</v>
      </c>
      <c r="B159" s="74" t="s">
        <v>332</v>
      </c>
      <c r="C159" s="75">
        <f>48*2</f>
        <v>96</v>
      </c>
      <c r="D159" s="75">
        <f>48*2</f>
        <v>96</v>
      </c>
      <c r="E159" s="75" t="s">
        <v>217</v>
      </c>
    </row>
    <row r="160" spans="1:5" ht="14.25">
      <c r="A160" s="76" t="s">
        <v>69</v>
      </c>
      <c r="B160" s="74" t="s">
        <v>142</v>
      </c>
      <c r="C160" s="75">
        <f>50*2</f>
        <v>100</v>
      </c>
      <c r="D160" s="75">
        <f>50*2</f>
        <v>100</v>
      </c>
      <c r="E160" s="75" t="s">
        <v>217</v>
      </c>
    </row>
    <row r="161" spans="1:5" ht="14.25">
      <c r="A161" s="76" t="s">
        <v>59</v>
      </c>
      <c r="B161" s="74" t="s">
        <v>138</v>
      </c>
      <c r="C161" s="75">
        <f>10*15*2</f>
        <v>300</v>
      </c>
      <c r="D161" s="75">
        <f>10*12*2</f>
        <v>240</v>
      </c>
      <c r="E161" s="75" t="s">
        <v>217</v>
      </c>
    </row>
    <row r="162" spans="1:5" ht="14.25">
      <c r="A162" s="76" t="s">
        <v>60</v>
      </c>
      <c r="B162" s="74" t="s">
        <v>537</v>
      </c>
      <c r="C162" s="75">
        <f>15.5*15*2</f>
        <v>465</v>
      </c>
      <c r="D162" s="75">
        <f>15.5*12*2</f>
        <v>372</v>
      </c>
      <c r="E162" s="75" t="s">
        <v>217</v>
      </c>
    </row>
    <row r="163" spans="2:4" ht="15">
      <c r="B163" s="215" t="s">
        <v>249</v>
      </c>
      <c r="C163" s="75">
        <f>SUM(C159:C162)</f>
        <v>961</v>
      </c>
      <c r="D163" s="75">
        <f>SUM(D159:D162)</f>
        <v>808</v>
      </c>
    </row>
    <row r="164" spans="2:4" ht="15">
      <c r="B164" s="77" t="s">
        <v>35</v>
      </c>
      <c r="C164" s="75">
        <f>C163+C158</f>
        <v>1516</v>
      </c>
      <c r="D164" s="75">
        <f>D163+D158</f>
        <v>1252</v>
      </c>
    </row>
    <row r="165" spans="2:4" ht="15">
      <c r="B165" s="77" t="s">
        <v>247</v>
      </c>
      <c r="C165" s="75">
        <f>C164/2</f>
        <v>758</v>
      </c>
      <c r="D165" s="75">
        <f>D164/2</f>
        <v>626</v>
      </c>
    </row>
    <row r="167" spans="1:11" ht="15">
      <c r="A167" s="73" t="s">
        <v>8</v>
      </c>
      <c r="K167" s="76">
        <f>17*20</f>
        <v>340</v>
      </c>
    </row>
    <row r="168" spans="1:11" ht="15.75" thickBot="1">
      <c r="A168" s="81" t="s">
        <v>43</v>
      </c>
      <c r="B168" s="82" t="s">
        <v>44</v>
      </c>
      <c r="C168" s="83" t="s">
        <v>53</v>
      </c>
      <c r="D168" s="83" t="s">
        <v>155</v>
      </c>
      <c r="E168" s="83" t="s">
        <v>216</v>
      </c>
      <c r="K168" s="76">
        <f>65*2</f>
        <v>130</v>
      </c>
    </row>
    <row r="169" spans="1:11" ht="14.25">
      <c r="A169" s="76" t="s">
        <v>50</v>
      </c>
      <c r="B169" s="74" t="s">
        <v>383</v>
      </c>
      <c r="C169" s="75">
        <f>17*15*2</f>
        <v>510</v>
      </c>
      <c r="D169" s="75">
        <f>17*12*2</f>
        <v>408</v>
      </c>
      <c r="E169" s="75" t="s">
        <v>218</v>
      </c>
      <c r="K169" s="76">
        <f>9.12*20</f>
        <v>182.39999999999998</v>
      </c>
    </row>
    <row r="170" spans="1:5" ht="14.25">
      <c r="A170" s="76" t="s">
        <v>62</v>
      </c>
      <c r="B170" s="74" t="s">
        <v>280</v>
      </c>
      <c r="C170" s="75">
        <f>65*2</f>
        <v>130</v>
      </c>
      <c r="D170" s="75">
        <f>65*2</f>
        <v>130</v>
      </c>
      <c r="E170" s="75" t="s">
        <v>218</v>
      </c>
    </row>
    <row r="171" spans="1:5" ht="14.25">
      <c r="A171" s="76" t="s">
        <v>56</v>
      </c>
      <c r="B171" s="74" t="s">
        <v>407</v>
      </c>
      <c r="C171" s="75">
        <f>9.12*15*2</f>
        <v>273.59999999999997</v>
      </c>
      <c r="D171" s="75">
        <f>9.12*12*2</f>
        <v>218.88</v>
      </c>
      <c r="E171" s="75" t="s">
        <v>218</v>
      </c>
    </row>
    <row r="172" spans="1:5" ht="14.25">
      <c r="A172" s="76" t="s">
        <v>381</v>
      </c>
      <c r="B172" s="74" t="s">
        <v>406</v>
      </c>
      <c r="C172" s="75">
        <f>4.25*15*2</f>
        <v>127.5</v>
      </c>
      <c r="D172" s="75">
        <f>4.25*12*2</f>
        <v>102</v>
      </c>
      <c r="E172" s="75" t="s">
        <v>218</v>
      </c>
    </row>
    <row r="173" spans="1:11" ht="14.25">
      <c r="A173" s="76" t="s">
        <v>352</v>
      </c>
      <c r="B173" s="74" t="s">
        <v>353</v>
      </c>
      <c r="C173" s="75">
        <f>27*2</f>
        <v>54</v>
      </c>
      <c r="D173" s="75">
        <f>27*2</f>
        <v>54</v>
      </c>
      <c r="E173" s="75" t="s">
        <v>218</v>
      </c>
      <c r="K173" s="76">
        <f>32.5*2</f>
        <v>65</v>
      </c>
    </row>
    <row r="174" spans="1:4" ht="15">
      <c r="A174" s="305"/>
      <c r="B174" s="77" t="s">
        <v>248</v>
      </c>
      <c r="C174" s="75">
        <f>SUM(C169:C173)</f>
        <v>1095.1</v>
      </c>
      <c r="D174" s="75">
        <f>SUM(D169:D173)</f>
        <v>912.88</v>
      </c>
    </row>
    <row r="175" spans="1:11" ht="14.25">
      <c r="A175" s="76" t="s">
        <v>271</v>
      </c>
      <c r="B175" s="74" t="s">
        <v>528</v>
      </c>
      <c r="C175" s="75">
        <f>(1.59*15*2)+(26.5*2)</f>
        <v>100.7</v>
      </c>
      <c r="D175" s="75">
        <f>(1.59*12*2)+(26.5*2)</f>
        <v>91.16</v>
      </c>
      <c r="E175" s="75" t="s">
        <v>217</v>
      </c>
      <c r="K175" s="76">
        <f>2*20</f>
        <v>40</v>
      </c>
    </row>
    <row r="176" spans="1:5" ht="14.25">
      <c r="A176" s="76" t="s">
        <v>61</v>
      </c>
      <c r="B176" s="74" t="s">
        <v>408</v>
      </c>
      <c r="C176" s="75">
        <f>0.5*15*2</f>
        <v>15</v>
      </c>
      <c r="D176" s="75" t="s">
        <v>147</v>
      </c>
      <c r="E176" s="75" t="s">
        <v>217</v>
      </c>
    </row>
    <row r="177" spans="1:11" ht="14.25">
      <c r="A177" s="76" t="s">
        <v>54</v>
      </c>
      <c r="B177" s="74" t="s">
        <v>120</v>
      </c>
      <c r="C177" s="75">
        <f>2*15*2</f>
        <v>60</v>
      </c>
      <c r="D177" s="75">
        <f>2*12*2</f>
        <v>48</v>
      </c>
      <c r="E177" s="75" t="s">
        <v>217</v>
      </c>
      <c r="K177" s="76">
        <f>7.5*20</f>
        <v>150</v>
      </c>
    </row>
    <row r="178" spans="1:11" ht="14.25">
      <c r="A178" s="76" t="s">
        <v>59</v>
      </c>
      <c r="B178" s="74" t="s">
        <v>405</v>
      </c>
      <c r="C178" s="75">
        <f>7.5*15*2</f>
        <v>225</v>
      </c>
      <c r="D178" s="75">
        <f>7.5*12*2</f>
        <v>180</v>
      </c>
      <c r="E178" s="75" t="s">
        <v>217</v>
      </c>
      <c r="K178" s="76">
        <f>9*20</f>
        <v>180</v>
      </c>
    </row>
    <row r="179" spans="1:11" ht="14.25">
      <c r="A179" s="76" t="s">
        <v>60</v>
      </c>
      <c r="B179" s="74" t="s">
        <v>529</v>
      </c>
      <c r="C179" s="75">
        <f>12.5*15*2</f>
        <v>375</v>
      </c>
      <c r="D179" s="75">
        <f>12.5*12*2</f>
        <v>300</v>
      </c>
      <c r="E179" s="75" t="s">
        <v>217</v>
      </c>
      <c r="K179" s="76">
        <f>SUM(K167:K178)</f>
        <v>1087.4</v>
      </c>
    </row>
    <row r="180" spans="1:5" ht="14.25">
      <c r="A180" s="76" t="s">
        <v>48</v>
      </c>
      <c r="B180" s="74" t="s">
        <v>119</v>
      </c>
      <c r="C180" s="75">
        <f>3*15*2</f>
        <v>90</v>
      </c>
      <c r="D180" s="75">
        <f>3*12*2</f>
        <v>72</v>
      </c>
      <c r="E180" s="75" t="s">
        <v>217</v>
      </c>
    </row>
    <row r="181" spans="1:5" ht="14.25">
      <c r="A181" s="76" t="s">
        <v>382</v>
      </c>
      <c r="B181" s="74" t="s">
        <v>409</v>
      </c>
      <c r="C181" s="75">
        <f>0.35*15*2</f>
        <v>10.5</v>
      </c>
      <c r="D181" s="75">
        <f>0.35*12*2</f>
        <v>8.399999999999999</v>
      </c>
      <c r="E181" s="75" t="s">
        <v>217</v>
      </c>
    </row>
    <row r="182" spans="2:4" ht="15">
      <c r="B182" s="215" t="s">
        <v>249</v>
      </c>
      <c r="C182" s="75">
        <f>SUM(C175:C181)</f>
        <v>876.2</v>
      </c>
      <c r="D182" s="75">
        <f>SUM(D175:D181)</f>
        <v>699.56</v>
      </c>
    </row>
    <row r="183" spans="2:4" ht="15">
      <c r="B183" s="77" t="s">
        <v>35</v>
      </c>
      <c r="C183" s="75">
        <f>C182+C174</f>
        <v>1971.3</v>
      </c>
      <c r="D183" s="75">
        <f>D182+D174</f>
        <v>1612.44</v>
      </c>
    </row>
    <row r="184" spans="2:4" ht="15">
      <c r="B184" s="77" t="s">
        <v>247</v>
      </c>
      <c r="C184" s="75">
        <f>C183/2</f>
        <v>985.65</v>
      </c>
      <c r="D184" s="75">
        <f>D183/2</f>
        <v>806.22</v>
      </c>
    </row>
  </sheetData>
  <sheetProtection/>
  <printOptions horizontalCentered="1"/>
  <pageMargins left="0.35" right="0.25" top="0.38" bottom="0.31" header="0.39" footer="0.27"/>
  <pageSetup fitToHeight="0" fitToWidth="1" horizontalDpi="600" verticalDpi="600" orientation="portrait" scale="67" r:id="rId1"/>
  <rowBreaks count="2" manualBreakCount="2">
    <brk id="52" max="255" man="1"/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zoomScalePageLayoutView="0" workbookViewId="0" topLeftCell="A44">
      <selection activeCell="H49" sqref="H49"/>
    </sheetView>
  </sheetViews>
  <sheetFormatPr defaultColWidth="9.140625" defaultRowHeight="12.75"/>
  <cols>
    <col min="1" max="1" width="7.7109375" style="1" customWidth="1"/>
    <col min="2" max="2" width="21.140625" style="1" bestFit="1" customWidth="1"/>
    <col min="3" max="3" width="16.28125" style="1" bestFit="1" customWidth="1"/>
    <col min="4" max="4" width="9.140625" style="22" bestFit="1" customWidth="1"/>
    <col min="5" max="5" width="8.7109375" style="22" bestFit="1" customWidth="1"/>
    <col min="6" max="6" width="18.00390625" style="27" bestFit="1" customWidth="1"/>
    <col min="7" max="8" width="7.28125" style="27" bestFit="1" customWidth="1"/>
    <col min="9" max="9" width="17.00390625" style="22" bestFit="1" customWidth="1"/>
    <col min="10" max="10" width="9.140625" style="22" bestFit="1" customWidth="1"/>
    <col min="11" max="11" width="6.28125" style="60" customWidth="1"/>
    <col min="12" max="12" width="9.140625" style="1" hidden="1" customWidth="1"/>
    <col min="13" max="13" width="10.00390625" style="1" hidden="1" customWidth="1"/>
    <col min="14" max="14" width="9.140625" style="1" customWidth="1"/>
    <col min="15" max="15" width="9.7109375" style="1" bestFit="1" customWidth="1"/>
    <col min="16" max="16" width="11.28125" style="1" bestFit="1" customWidth="1"/>
    <col min="17" max="16384" width="9.140625" style="1" customWidth="1"/>
  </cols>
  <sheetData>
    <row r="1" spans="1:11" ht="12.75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</row>
    <row r="2" spans="1:12" ht="12.75">
      <c r="A2" s="424" t="s">
        <v>512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16"/>
    </row>
    <row r="3" spans="1:12" ht="13.5" thickBot="1">
      <c r="A3" s="51"/>
      <c r="B3" s="51"/>
      <c r="C3" s="51"/>
      <c r="D3" s="51"/>
      <c r="E3" s="67"/>
      <c r="F3" s="51"/>
      <c r="G3" s="67"/>
      <c r="H3" s="67"/>
      <c r="I3" s="229"/>
      <c r="J3" s="51"/>
      <c r="K3" s="282" t="s">
        <v>535</v>
      </c>
      <c r="L3" s="16"/>
    </row>
    <row r="4" spans="1:15" s="2" customFormat="1" ht="12" customHeight="1" thickTop="1">
      <c r="A4" s="61"/>
      <c r="B4" s="62"/>
      <c r="C4" s="63" t="s">
        <v>442</v>
      </c>
      <c r="D4" s="429" t="s">
        <v>513</v>
      </c>
      <c r="E4" s="430"/>
      <c r="F4" s="430"/>
      <c r="G4" s="430"/>
      <c r="H4" s="430"/>
      <c r="I4" s="430"/>
      <c r="J4" s="431"/>
      <c r="K4" s="291"/>
      <c r="L4" s="129"/>
      <c r="O4" s="1"/>
    </row>
    <row r="5" spans="1:12" ht="12.75">
      <c r="A5" s="4"/>
      <c r="B5" s="5"/>
      <c r="C5" s="53" t="s">
        <v>253</v>
      </c>
      <c r="D5" s="427" t="s">
        <v>253</v>
      </c>
      <c r="E5" s="428"/>
      <c r="F5" s="428"/>
      <c r="G5" s="71" t="s">
        <v>118</v>
      </c>
      <c r="H5" s="71" t="s">
        <v>118</v>
      </c>
      <c r="I5" s="5" t="s">
        <v>253</v>
      </c>
      <c r="J5" s="55"/>
      <c r="K5" s="292"/>
      <c r="L5" s="16"/>
    </row>
    <row r="6" spans="1:15" ht="12.75">
      <c r="A6" s="136"/>
      <c r="B6" s="5"/>
      <c r="C6" s="53" t="s">
        <v>443</v>
      </c>
      <c r="D6" s="425" t="s">
        <v>514</v>
      </c>
      <c r="E6" s="426"/>
      <c r="F6" s="426"/>
      <c r="G6" s="71" t="s">
        <v>259</v>
      </c>
      <c r="H6" s="71" t="s">
        <v>217</v>
      </c>
      <c r="I6" s="5" t="s">
        <v>514</v>
      </c>
      <c r="J6" s="55" t="s">
        <v>42</v>
      </c>
      <c r="K6" s="292" t="s">
        <v>251</v>
      </c>
      <c r="L6" s="16"/>
      <c r="O6" s="364"/>
    </row>
    <row r="7" spans="1:15" ht="15" thickBot="1">
      <c r="A7" s="137" t="s">
        <v>234</v>
      </c>
      <c r="B7" s="6" t="s">
        <v>33</v>
      </c>
      <c r="C7" s="54" t="s">
        <v>41</v>
      </c>
      <c r="D7" s="56" t="s">
        <v>42</v>
      </c>
      <c r="E7" s="72" t="s">
        <v>237</v>
      </c>
      <c r="F7" s="25" t="s">
        <v>34</v>
      </c>
      <c r="G7" s="72" t="s">
        <v>219</v>
      </c>
      <c r="H7" s="72" t="s">
        <v>219</v>
      </c>
      <c r="I7" s="6" t="s">
        <v>78</v>
      </c>
      <c r="J7" s="57" t="s">
        <v>81</v>
      </c>
      <c r="K7" s="293" t="s">
        <v>252</v>
      </c>
      <c r="L7" s="16"/>
      <c r="M7" s="20"/>
      <c r="N7" s="46"/>
      <c r="O7" s="364"/>
    </row>
    <row r="8" spans="1:16" ht="12.75">
      <c r="A8" s="7" t="s">
        <v>121</v>
      </c>
      <c r="B8" s="379" t="s">
        <v>11</v>
      </c>
      <c r="C8" s="331">
        <v>2390</v>
      </c>
      <c r="D8" s="223">
        <f>E8*15*2</f>
        <v>2160</v>
      </c>
      <c r="E8" s="220">
        <v>72</v>
      </c>
      <c r="F8" s="238">
        <f>G8+H8</f>
        <v>230</v>
      </c>
      <c r="G8" s="220">
        <v>0</v>
      </c>
      <c r="H8" s="220">
        <f>'Notes-2yr'!D4</f>
        <v>230</v>
      </c>
      <c r="I8" s="220">
        <f>D8+F8</f>
        <v>2390</v>
      </c>
      <c r="J8" s="58" t="s">
        <v>137</v>
      </c>
      <c r="K8" s="294">
        <f aca="true" t="shared" si="0" ref="K8:K13">((I8-C8)/C8)</f>
        <v>0</v>
      </c>
      <c r="L8" s="16">
        <f>(E8+E11+E15+E17+E19+E21+E26+E29+E32+E35+E38+E24+E41+E43+E46+E48+E51+E54+E56+E58+E61+E64)/22</f>
        <v>89.30681818181819</v>
      </c>
      <c r="M8" s="23" t="s">
        <v>422</v>
      </c>
      <c r="N8" s="180"/>
      <c r="O8" s="364"/>
      <c r="P8" s="306"/>
    </row>
    <row r="9" spans="1:15" ht="12.75">
      <c r="A9" s="7"/>
      <c r="B9" s="379" t="s">
        <v>15</v>
      </c>
      <c r="C9" s="331">
        <v>2090</v>
      </c>
      <c r="D9" s="223">
        <f aca="true" t="shared" si="1" ref="D9:D66">E9*15*2</f>
        <v>1860</v>
      </c>
      <c r="E9" s="220">
        <v>62</v>
      </c>
      <c r="F9" s="238">
        <f aca="true" t="shared" si="2" ref="F9:F66">G9+H9</f>
        <v>230</v>
      </c>
      <c r="G9" s="220">
        <v>0</v>
      </c>
      <c r="H9" s="220">
        <f>'Notes-2yr'!D4</f>
        <v>230</v>
      </c>
      <c r="I9" s="220">
        <f>D9+F9</f>
        <v>2090</v>
      </c>
      <c r="J9" s="58" t="s">
        <v>137</v>
      </c>
      <c r="K9" s="294">
        <f t="shared" si="0"/>
        <v>0</v>
      </c>
      <c r="L9" s="16"/>
      <c r="M9" s="9"/>
      <c r="N9" s="180"/>
      <c r="O9" s="364"/>
    </row>
    <row r="10" spans="1:15" ht="12.75">
      <c r="A10" s="11"/>
      <c r="B10" s="380" t="s">
        <v>12</v>
      </c>
      <c r="C10" s="332">
        <v>3890</v>
      </c>
      <c r="D10" s="225">
        <f t="shared" si="1"/>
        <v>3660</v>
      </c>
      <c r="E10" s="221">
        <v>122</v>
      </c>
      <c r="F10" s="239">
        <f t="shared" si="2"/>
        <v>230</v>
      </c>
      <c r="G10" s="221">
        <v>0</v>
      </c>
      <c r="H10" s="221">
        <f>'Notes-2yr'!D4</f>
        <v>230</v>
      </c>
      <c r="I10" s="221">
        <f>D10+F10</f>
        <v>3890</v>
      </c>
      <c r="J10" s="59" t="s">
        <v>137</v>
      </c>
      <c r="K10" s="295">
        <f t="shared" si="0"/>
        <v>0</v>
      </c>
      <c r="L10" s="16"/>
      <c r="M10" s="9"/>
      <c r="N10" s="180"/>
      <c r="O10" s="364"/>
    </row>
    <row r="11" spans="1:18" ht="12.75">
      <c r="A11" s="7" t="s">
        <v>10</v>
      </c>
      <c r="B11" s="379" t="s">
        <v>11</v>
      </c>
      <c r="C11" s="331">
        <v>3120</v>
      </c>
      <c r="D11" s="223">
        <f t="shared" si="1"/>
        <v>2790</v>
      </c>
      <c r="E11" s="220">
        <v>93</v>
      </c>
      <c r="F11" s="238">
        <f t="shared" si="2"/>
        <v>480</v>
      </c>
      <c r="G11" s="220">
        <f>'Notes-2yr'!D11</f>
        <v>90</v>
      </c>
      <c r="H11" s="352">
        <f>'Notes-2yr'!D10</f>
        <v>390</v>
      </c>
      <c r="I11" s="220">
        <f>D11+F11</f>
        <v>3270</v>
      </c>
      <c r="J11" s="58" t="s">
        <v>127</v>
      </c>
      <c r="K11" s="294">
        <f t="shared" si="0"/>
        <v>0.04807692307692308</v>
      </c>
      <c r="L11" s="16"/>
      <c r="N11" s="180"/>
      <c r="O11" s="364"/>
      <c r="P11" s="310"/>
      <c r="Q11" s="205"/>
      <c r="R11" s="311"/>
    </row>
    <row r="12" spans="1:15" ht="12.75">
      <c r="A12" s="7"/>
      <c r="B12" s="379" t="s">
        <v>260</v>
      </c>
      <c r="C12" s="331">
        <v>2730</v>
      </c>
      <c r="D12" s="223">
        <f t="shared" si="1"/>
        <v>2490</v>
      </c>
      <c r="E12" s="220">
        <v>83</v>
      </c>
      <c r="F12" s="238">
        <f t="shared" si="2"/>
        <v>390</v>
      </c>
      <c r="G12" s="220">
        <v>0</v>
      </c>
      <c r="H12" s="352">
        <f>'Notes-2yr'!D10</f>
        <v>390</v>
      </c>
      <c r="I12" s="220">
        <f aca="true" t="shared" si="3" ref="I12:I31">D12+F12</f>
        <v>2880</v>
      </c>
      <c r="J12" s="58" t="s">
        <v>127</v>
      </c>
      <c r="K12" s="294">
        <f t="shared" si="0"/>
        <v>0.054945054945054944</v>
      </c>
      <c r="L12" s="16"/>
      <c r="M12" s="9"/>
      <c r="N12" s="180"/>
      <c r="O12" s="364"/>
    </row>
    <row r="13" spans="1:15" ht="12.75">
      <c r="A13" s="7"/>
      <c r="B13" s="379" t="s">
        <v>464</v>
      </c>
      <c r="C13" s="331">
        <v>2790</v>
      </c>
      <c r="D13" s="223">
        <f t="shared" si="1"/>
        <v>2790</v>
      </c>
      <c r="E13" s="220">
        <v>93</v>
      </c>
      <c r="F13" s="238">
        <f t="shared" si="2"/>
        <v>150</v>
      </c>
      <c r="G13" s="220">
        <v>0</v>
      </c>
      <c r="H13" s="352">
        <f>'Notes-2yr'!D8</f>
        <v>150</v>
      </c>
      <c r="I13" s="220">
        <f t="shared" si="3"/>
        <v>2940</v>
      </c>
      <c r="J13" s="58" t="s">
        <v>127</v>
      </c>
      <c r="K13" s="294">
        <f t="shared" si="0"/>
        <v>0.053763440860215055</v>
      </c>
      <c r="L13" s="16"/>
      <c r="M13" s="9"/>
      <c r="N13" s="180"/>
      <c r="O13" s="364"/>
    </row>
    <row r="14" spans="1:15" ht="12.75">
      <c r="A14" s="12"/>
      <c r="B14" s="380" t="s">
        <v>12</v>
      </c>
      <c r="C14" s="332">
        <v>5040</v>
      </c>
      <c r="D14" s="225">
        <f t="shared" si="1"/>
        <v>4830</v>
      </c>
      <c r="E14" s="221">
        <v>161</v>
      </c>
      <c r="F14" s="239">
        <f t="shared" si="2"/>
        <v>480</v>
      </c>
      <c r="G14" s="221">
        <f>'Notes-2yr'!D11</f>
        <v>90</v>
      </c>
      <c r="H14" s="221">
        <f>'Notes-2yr'!D10</f>
        <v>390</v>
      </c>
      <c r="I14" s="221">
        <f t="shared" si="3"/>
        <v>5310</v>
      </c>
      <c r="J14" s="59" t="s">
        <v>127</v>
      </c>
      <c r="K14" s="295">
        <f aca="true" t="shared" si="4" ref="K14:K44">((I14-C14)/C14)</f>
        <v>0.05357142857142857</v>
      </c>
      <c r="L14" s="16"/>
      <c r="M14" s="9"/>
      <c r="N14" s="180"/>
      <c r="O14" s="364"/>
    </row>
    <row r="15" spans="1:16" ht="12.75">
      <c r="A15" s="7" t="s">
        <v>14</v>
      </c>
      <c r="B15" s="379" t="s">
        <v>11</v>
      </c>
      <c r="C15" s="331">
        <v>3240</v>
      </c>
      <c r="D15" s="223">
        <f t="shared" si="1"/>
        <v>2670</v>
      </c>
      <c r="E15" s="220">
        <v>89</v>
      </c>
      <c r="F15" s="238">
        <f t="shared" si="2"/>
        <v>660</v>
      </c>
      <c r="G15" s="220">
        <v>0</v>
      </c>
      <c r="H15" s="220">
        <f>'Notes-2yr'!D16</f>
        <v>660</v>
      </c>
      <c r="I15" s="220">
        <f t="shared" si="3"/>
        <v>3330</v>
      </c>
      <c r="J15" s="58" t="s">
        <v>127</v>
      </c>
      <c r="K15" s="294">
        <f t="shared" si="4"/>
        <v>0.027777777777777776</v>
      </c>
      <c r="L15" s="16"/>
      <c r="N15" s="180"/>
      <c r="O15" s="364"/>
      <c r="P15" s="306"/>
    </row>
    <row r="16" spans="1:15" ht="12.75">
      <c r="A16" s="268"/>
      <c r="B16" s="380" t="s">
        <v>12</v>
      </c>
      <c r="C16" s="332">
        <v>5100</v>
      </c>
      <c r="D16" s="225">
        <f t="shared" si="1"/>
        <v>4590</v>
      </c>
      <c r="E16" s="221">
        <v>153</v>
      </c>
      <c r="F16" s="239">
        <f t="shared" si="2"/>
        <v>660</v>
      </c>
      <c r="G16" s="221">
        <v>0</v>
      </c>
      <c r="H16" s="221">
        <f>'Notes-2yr'!D16</f>
        <v>660</v>
      </c>
      <c r="I16" s="221">
        <f t="shared" si="3"/>
        <v>5250</v>
      </c>
      <c r="J16" s="59" t="s">
        <v>127</v>
      </c>
      <c r="K16" s="295">
        <f t="shared" si="4"/>
        <v>0.029411764705882353</v>
      </c>
      <c r="L16" s="16"/>
      <c r="M16" s="9"/>
      <c r="N16" s="180"/>
      <c r="O16" s="364"/>
    </row>
    <row r="17" spans="1:16" ht="12.75">
      <c r="A17" s="7" t="s">
        <v>13</v>
      </c>
      <c r="B17" s="379" t="s">
        <v>11</v>
      </c>
      <c r="C17" s="331">
        <v>3000</v>
      </c>
      <c r="D17" s="223">
        <f t="shared" si="1"/>
        <v>2700</v>
      </c>
      <c r="E17" s="220">
        <v>90</v>
      </c>
      <c r="F17" s="238">
        <f>G17+H17</f>
        <v>450</v>
      </c>
      <c r="G17" s="220">
        <v>0</v>
      </c>
      <c r="H17" s="220">
        <f>'Notes-2yr'!D21</f>
        <v>450</v>
      </c>
      <c r="I17" s="220">
        <f t="shared" si="3"/>
        <v>3150</v>
      </c>
      <c r="J17" s="58" t="s">
        <v>127</v>
      </c>
      <c r="K17" s="294">
        <f t="shared" si="4"/>
        <v>0.05</v>
      </c>
      <c r="L17" s="16"/>
      <c r="N17" s="180"/>
      <c r="O17" s="364"/>
      <c r="P17" s="306"/>
    </row>
    <row r="18" spans="1:15" ht="12.75">
      <c r="A18" s="269"/>
      <c r="B18" s="380" t="s">
        <v>12</v>
      </c>
      <c r="C18" s="332">
        <v>4680</v>
      </c>
      <c r="D18" s="225">
        <f t="shared" si="1"/>
        <v>4410</v>
      </c>
      <c r="E18" s="221">
        <v>147</v>
      </c>
      <c r="F18" s="239">
        <f t="shared" si="2"/>
        <v>450</v>
      </c>
      <c r="G18" s="221">
        <v>0</v>
      </c>
      <c r="H18" s="221">
        <f>'Notes-2yr'!D21</f>
        <v>450</v>
      </c>
      <c r="I18" s="221">
        <f t="shared" si="3"/>
        <v>4860</v>
      </c>
      <c r="J18" s="59" t="s">
        <v>127</v>
      </c>
      <c r="K18" s="295">
        <f t="shared" si="4"/>
        <v>0.038461538461538464</v>
      </c>
      <c r="L18" s="16"/>
      <c r="M18" s="9"/>
      <c r="N18" s="180"/>
      <c r="O18" s="364"/>
    </row>
    <row r="19" spans="1:16" ht="12.75">
      <c r="A19" s="7" t="s">
        <v>79</v>
      </c>
      <c r="B19" s="379" t="s">
        <v>11</v>
      </c>
      <c r="C19" s="331">
        <v>2850</v>
      </c>
      <c r="D19" s="223">
        <f t="shared" si="1"/>
        <v>2490</v>
      </c>
      <c r="E19" s="220">
        <v>83</v>
      </c>
      <c r="F19" s="238">
        <f t="shared" si="2"/>
        <v>570</v>
      </c>
      <c r="G19" s="220">
        <v>0</v>
      </c>
      <c r="H19" s="220">
        <f>'Notes-2yr'!D27</f>
        <v>570</v>
      </c>
      <c r="I19" s="220">
        <f>D19+F19</f>
        <v>3060</v>
      </c>
      <c r="J19" s="58" t="s">
        <v>127</v>
      </c>
      <c r="K19" s="294">
        <f t="shared" si="4"/>
        <v>0.07368421052631578</v>
      </c>
      <c r="L19" s="16"/>
      <c r="N19" s="180"/>
      <c r="O19" s="364"/>
      <c r="P19" s="306"/>
    </row>
    <row r="20" spans="1:15" ht="12.75">
      <c r="A20" s="268"/>
      <c r="B20" s="380" t="s">
        <v>12</v>
      </c>
      <c r="C20" s="332">
        <v>6180</v>
      </c>
      <c r="D20" s="225">
        <f t="shared" si="1"/>
        <v>5670</v>
      </c>
      <c r="E20" s="221">
        <v>189</v>
      </c>
      <c r="F20" s="239">
        <f t="shared" si="2"/>
        <v>570</v>
      </c>
      <c r="G20" s="221">
        <v>0</v>
      </c>
      <c r="H20" s="221">
        <f>'Notes-2yr'!D27</f>
        <v>570</v>
      </c>
      <c r="I20" s="221">
        <f t="shared" si="3"/>
        <v>6240</v>
      </c>
      <c r="J20" s="59" t="s">
        <v>127</v>
      </c>
      <c r="K20" s="295">
        <f t="shared" si="4"/>
        <v>0.009708737864077669</v>
      </c>
      <c r="L20" s="16"/>
      <c r="M20" s="9"/>
      <c r="N20" s="180"/>
      <c r="O20" s="364"/>
    </row>
    <row r="21" spans="1:16" ht="12.75">
      <c r="A21" s="7" t="s">
        <v>30</v>
      </c>
      <c r="B21" s="379" t="s">
        <v>11</v>
      </c>
      <c r="C21" s="331">
        <v>2512</v>
      </c>
      <c r="D21" s="223">
        <f t="shared" si="1"/>
        <v>2145</v>
      </c>
      <c r="E21" s="354">
        <v>71.5</v>
      </c>
      <c r="F21" s="238">
        <f t="shared" si="2"/>
        <v>502</v>
      </c>
      <c r="G21" s="220">
        <v>0</v>
      </c>
      <c r="H21" s="220">
        <f>'Notes-2yr'!D34</f>
        <v>502</v>
      </c>
      <c r="I21" s="220">
        <f t="shared" si="3"/>
        <v>2647</v>
      </c>
      <c r="J21" s="58" t="s">
        <v>127</v>
      </c>
      <c r="K21" s="294">
        <f t="shared" si="4"/>
        <v>0.05374203821656051</v>
      </c>
      <c r="L21" s="16"/>
      <c r="N21" s="180"/>
      <c r="O21" s="364"/>
      <c r="P21" s="306"/>
    </row>
    <row r="22" spans="1:15" ht="12.75">
      <c r="A22" s="270"/>
      <c r="B22" s="379" t="s">
        <v>15</v>
      </c>
      <c r="C22" s="331">
        <v>2212</v>
      </c>
      <c r="D22" s="223">
        <f t="shared" si="1"/>
        <v>1830</v>
      </c>
      <c r="E22" s="220">
        <v>61</v>
      </c>
      <c r="F22" s="238">
        <f t="shared" si="2"/>
        <v>502</v>
      </c>
      <c r="G22" s="220">
        <v>0</v>
      </c>
      <c r="H22" s="220">
        <f>'Notes-2yr'!D34</f>
        <v>502</v>
      </c>
      <c r="I22" s="220">
        <f t="shared" si="3"/>
        <v>2332</v>
      </c>
      <c r="J22" s="58" t="s">
        <v>127</v>
      </c>
      <c r="K22" s="294">
        <f t="shared" si="4"/>
        <v>0.054249547920433995</v>
      </c>
      <c r="L22" s="16"/>
      <c r="M22" s="9"/>
      <c r="N22" s="180"/>
      <c r="O22" s="364"/>
    </row>
    <row r="23" spans="1:15" ht="12.75">
      <c r="A23" s="268"/>
      <c r="B23" s="380" t="s">
        <v>29</v>
      </c>
      <c r="C23" s="332">
        <v>5062</v>
      </c>
      <c r="D23" s="225">
        <f t="shared" si="1"/>
        <v>4710</v>
      </c>
      <c r="E23" s="221">
        <v>157</v>
      </c>
      <c r="F23" s="239">
        <f t="shared" si="2"/>
        <v>502</v>
      </c>
      <c r="G23" s="221">
        <v>0</v>
      </c>
      <c r="H23" s="221">
        <f>'Notes-2yr'!D34</f>
        <v>502</v>
      </c>
      <c r="I23" s="221">
        <f t="shared" si="3"/>
        <v>5212</v>
      </c>
      <c r="J23" s="59" t="s">
        <v>127</v>
      </c>
      <c r="K23" s="295">
        <f t="shared" si="4"/>
        <v>0.029632556301856974</v>
      </c>
      <c r="L23" s="16"/>
      <c r="M23" s="9"/>
      <c r="N23" s="180"/>
      <c r="O23" s="364"/>
    </row>
    <row r="24" spans="1:16" ht="12.75">
      <c r="A24" s="7" t="s">
        <v>417</v>
      </c>
      <c r="B24" s="379" t="s">
        <v>11</v>
      </c>
      <c r="C24" s="331">
        <v>3182</v>
      </c>
      <c r="D24" s="223">
        <f>E24*15*2</f>
        <v>2640</v>
      </c>
      <c r="E24" s="220">
        <v>88</v>
      </c>
      <c r="F24" s="238">
        <f>G24+H24</f>
        <v>670</v>
      </c>
      <c r="G24" s="220">
        <v>0</v>
      </c>
      <c r="H24" s="220">
        <f>'Notes-2yr'!D41</f>
        <v>670</v>
      </c>
      <c r="I24" s="220">
        <f>D24+F24</f>
        <v>3310</v>
      </c>
      <c r="J24" s="58" t="s">
        <v>127</v>
      </c>
      <c r="K24" s="294">
        <f>((I24-C24)/C24)</f>
        <v>0.04022627278441232</v>
      </c>
      <c r="L24" s="16"/>
      <c r="N24" s="180"/>
      <c r="O24" s="364"/>
      <c r="P24" s="306"/>
    </row>
    <row r="25" spans="1:15" ht="12.75">
      <c r="A25" s="268"/>
      <c r="B25" s="380" t="s">
        <v>12</v>
      </c>
      <c r="C25" s="332">
        <v>5732</v>
      </c>
      <c r="D25" s="225">
        <f>E25*15*2</f>
        <v>5280</v>
      </c>
      <c r="E25" s="221">
        <v>176</v>
      </c>
      <c r="F25" s="239">
        <f>G25+H25</f>
        <v>670</v>
      </c>
      <c r="G25" s="221">
        <v>0</v>
      </c>
      <c r="H25" s="221">
        <f>'Notes-2yr'!D41</f>
        <v>670</v>
      </c>
      <c r="I25" s="221">
        <f>D25+F25</f>
        <v>5950</v>
      </c>
      <c r="J25" s="59" t="s">
        <v>127</v>
      </c>
      <c r="K25" s="295">
        <f>((I25-C25)/C25)</f>
        <v>0.038032100488485696</v>
      </c>
      <c r="L25" s="16"/>
      <c r="M25" s="9"/>
      <c r="N25" s="180"/>
      <c r="O25" s="364"/>
    </row>
    <row r="26" spans="1:16" ht="12.75">
      <c r="A26" s="7" t="s">
        <v>16</v>
      </c>
      <c r="B26" s="379" t="s">
        <v>11</v>
      </c>
      <c r="C26" s="331">
        <v>2790</v>
      </c>
      <c r="D26" s="223">
        <f t="shared" si="1"/>
        <v>2610</v>
      </c>
      <c r="E26" s="220">
        <v>87</v>
      </c>
      <c r="F26" s="238">
        <f>G26+H26</f>
        <v>270</v>
      </c>
      <c r="G26" s="220">
        <v>0</v>
      </c>
      <c r="H26" s="220">
        <f>'Notes-2yr'!D46</f>
        <v>270</v>
      </c>
      <c r="I26" s="220">
        <f t="shared" si="3"/>
        <v>2880</v>
      </c>
      <c r="J26" s="58" t="s">
        <v>117</v>
      </c>
      <c r="K26" s="294">
        <f t="shared" si="4"/>
        <v>0.03225806451612903</v>
      </c>
      <c r="L26" s="16"/>
      <c r="N26" s="180"/>
      <c r="O26" s="364"/>
      <c r="P26" s="306"/>
    </row>
    <row r="27" spans="1:15" ht="12.75">
      <c r="A27" s="267"/>
      <c r="B27" s="379" t="s">
        <v>15</v>
      </c>
      <c r="C27" s="331">
        <v>2520</v>
      </c>
      <c r="D27" s="223">
        <f t="shared" si="1"/>
        <v>2340</v>
      </c>
      <c r="E27" s="220">
        <v>78</v>
      </c>
      <c r="F27" s="238">
        <f t="shared" si="2"/>
        <v>270</v>
      </c>
      <c r="G27" s="220">
        <v>0</v>
      </c>
      <c r="H27" s="220">
        <f>'Notes-2yr'!D46</f>
        <v>270</v>
      </c>
      <c r="I27" s="220">
        <f t="shared" si="3"/>
        <v>2610</v>
      </c>
      <c r="J27" s="58" t="s">
        <v>117</v>
      </c>
      <c r="K27" s="294">
        <f t="shared" si="4"/>
        <v>0.03571428571428571</v>
      </c>
      <c r="L27" s="16"/>
      <c r="M27" s="9"/>
      <c r="N27" s="180"/>
      <c r="O27" s="364"/>
    </row>
    <row r="28" spans="1:15" ht="12.75">
      <c r="A28" s="268"/>
      <c r="B28" s="380" t="s">
        <v>12</v>
      </c>
      <c r="C28" s="332">
        <v>3270</v>
      </c>
      <c r="D28" s="225">
        <f t="shared" si="1"/>
        <v>3120</v>
      </c>
      <c r="E28" s="221">
        <v>104</v>
      </c>
      <c r="F28" s="239">
        <f t="shared" si="2"/>
        <v>270</v>
      </c>
      <c r="G28" s="221">
        <v>0</v>
      </c>
      <c r="H28" s="221">
        <f>'Notes-2yr'!D46</f>
        <v>270</v>
      </c>
      <c r="I28" s="221">
        <f t="shared" si="3"/>
        <v>3390</v>
      </c>
      <c r="J28" s="59" t="s">
        <v>117</v>
      </c>
      <c r="K28" s="295">
        <f t="shared" si="4"/>
        <v>0.03669724770642202</v>
      </c>
      <c r="L28" s="16"/>
      <c r="M28" s="9"/>
      <c r="N28" s="180"/>
      <c r="O28" s="364"/>
    </row>
    <row r="29" spans="1:16" ht="12.75">
      <c r="A29" s="7" t="s">
        <v>17</v>
      </c>
      <c r="B29" s="379" t="s">
        <v>11</v>
      </c>
      <c r="C29" s="331">
        <v>3670</v>
      </c>
      <c r="D29" s="223">
        <f t="shared" si="1"/>
        <v>3300</v>
      </c>
      <c r="E29" s="220">
        <v>110</v>
      </c>
      <c r="F29" s="238">
        <f t="shared" si="2"/>
        <v>490</v>
      </c>
      <c r="G29" s="220">
        <v>0</v>
      </c>
      <c r="H29" s="220">
        <f>'Notes-2yr'!D54</f>
        <v>490</v>
      </c>
      <c r="I29" s="220">
        <f t="shared" si="3"/>
        <v>3790</v>
      </c>
      <c r="J29" s="58" t="s">
        <v>127</v>
      </c>
      <c r="K29" s="294">
        <f t="shared" si="4"/>
        <v>0.0326975476839237</v>
      </c>
      <c r="L29" s="16"/>
      <c r="N29" s="180"/>
      <c r="O29" s="364"/>
      <c r="P29" s="306"/>
    </row>
    <row r="30" spans="1:15" ht="12.75">
      <c r="A30" s="267"/>
      <c r="B30" s="379" t="s">
        <v>15</v>
      </c>
      <c r="C30" s="331">
        <v>3070</v>
      </c>
      <c r="D30" s="223">
        <f t="shared" si="1"/>
        <v>2700</v>
      </c>
      <c r="E30" s="220">
        <v>90</v>
      </c>
      <c r="F30" s="238">
        <f t="shared" si="2"/>
        <v>490</v>
      </c>
      <c r="G30" s="220">
        <v>0</v>
      </c>
      <c r="H30" s="220">
        <f>'Notes-2yr'!D54</f>
        <v>490</v>
      </c>
      <c r="I30" s="220">
        <f t="shared" si="3"/>
        <v>3190</v>
      </c>
      <c r="J30" s="58" t="s">
        <v>127</v>
      </c>
      <c r="K30" s="294">
        <f t="shared" si="4"/>
        <v>0.03908794788273615</v>
      </c>
      <c r="L30" s="16"/>
      <c r="M30" s="9"/>
      <c r="N30" s="180"/>
      <c r="O30" s="364"/>
    </row>
    <row r="31" spans="1:15" ht="12.75">
      <c r="A31" s="268"/>
      <c r="B31" s="380" t="s">
        <v>12</v>
      </c>
      <c r="C31" s="332">
        <v>9370</v>
      </c>
      <c r="D31" s="225">
        <f t="shared" si="1"/>
        <v>9000</v>
      </c>
      <c r="E31" s="221">
        <v>300</v>
      </c>
      <c r="F31" s="239">
        <f t="shared" si="2"/>
        <v>490</v>
      </c>
      <c r="G31" s="221">
        <v>0</v>
      </c>
      <c r="H31" s="221">
        <f>'Notes-2yr'!D54</f>
        <v>490</v>
      </c>
      <c r="I31" s="221">
        <f t="shared" si="3"/>
        <v>9490</v>
      </c>
      <c r="J31" s="59" t="s">
        <v>127</v>
      </c>
      <c r="K31" s="295">
        <f t="shared" si="4"/>
        <v>0.012806830309498399</v>
      </c>
      <c r="L31" s="16"/>
      <c r="M31" s="9"/>
      <c r="N31" s="180"/>
      <c r="O31" s="364"/>
    </row>
    <row r="32" spans="1:16" ht="12.75">
      <c r="A32" s="7" t="s">
        <v>18</v>
      </c>
      <c r="B32" s="379" t="s">
        <v>11</v>
      </c>
      <c r="C32" s="331">
        <v>3090</v>
      </c>
      <c r="D32" s="223">
        <f t="shared" si="1"/>
        <v>2700</v>
      </c>
      <c r="E32" s="220">
        <v>90</v>
      </c>
      <c r="F32" s="238">
        <f t="shared" si="2"/>
        <v>390</v>
      </c>
      <c r="G32" s="220">
        <v>0</v>
      </c>
      <c r="H32" s="220">
        <f>'Notes-2yr'!D60</f>
        <v>390</v>
      </c>
      <c r="I32" s="220">
        <f>D32+F32</f>
        <v>3090</v>
      </c>
      <c r="J32" s="58" t="s">
        <v>127</v>
      </c>
      <c r="K32" s="294">
        <f t="shared" si="4"/>
        <v>0</v>
      </c>
      <c r="L32" s="16"/>
      <c r="N32" s="180"/>
      <c r="O32" s="364"/>
      <c r="P32" s="306"/>
    </row>
    <row r="33" spans="1:15" ht="12.75">
      <c r="A33" s="267"/>
      <c r="B33" s="379" t="s">
        <v>15</v>
      </c>
      <c r="C33" s="331">
        <v>2370</v>
      </c>
      <c r="D33" s="223">
        <f t="shared" si="1"/>
        <v>1980</v>
      </c>
      <c r="E33" s="220">
        <v>66</v>
      </c>
      <c r="F33" s="238">
        <f t="shared" si="2"/>
        <v>390</v>
      </c>
      <c r="G33" s="220">
        <v>0</v>
      </c>
      <c r="H33" s="220">
        <f>'Notes-2yr'!D60</f>
        <v>390</v>
      </c>
      <c r="I33" s="220">
        <f aca="true" t="shared" si="5" ref="I33:I66">D33+F33</f>
        <v>2370</v>
      </c>
      <c r="J33" s="58" t="s">
        <v>127</v>
      </c>
      <c r="K33" s="294">
        <f t="shared" si="4"/>
        <v>0</v>
      </c>
      <c r="L33" s="16"/>
      <c r="M33" s="9"/>
      <c r="N33" s="180"/>
      <c r="O33" s="364"/>
    </row>
    <row r="34" spans="1:15" ht="12.75">
      <c r="A34" s="268"/>
      <c r="B34" s="380" t="s">
        <v>12</v>
      </c>
      <c r="C34" s="332">
        <v>5220</v>
      </c>
      <c r="D34" s="225">
        <f t="shared" si="1"/>
        <v>4830</v>
      </c>
      <c r="E34" s="221">
        <v>161</v>
      </c>
      <c r="F34" s="239">
        <f t="shared" si="2"/>
        <v>390</v>
      </c>
      <c r="G34" s="221">
        <v>0</v>
      </c>
      <c r="H34" s="221">
        <f>'Notes-2yr'!D60</f>
        <v>390</v>
      </c>
      <c r="I34" s="221">
        <f t="shared" si="5"/>
        <v>5220</v>
      </c>
      <c r="J34" s="59" t="s">
        <v>127</v>
      </c>
      <c r="K34" s="295">
        <f t="shared" si="4"/>
        <v>0</v>
      </c>
      <c r="L34" s="16"/>
      <c r="M34" s="9"/>
      <c r="N34" s="180"/>
      <c r="O34" s="364"/>
    </row>
    <row r="35" spans="1:16" ht="12.75">
      <c r="A35" s="7" t="s">
        <v>122</v>
      </c>
      <c r="B35" s="379" t="s">
        <v>11</v>
      </c>
      <c r="C35" s="331">
        <v>3320</v>
      </c>
      <c r="D35" s="228">
        <f>E35*15*2</f>
        <v>2970</v>
      </c>
      <c r="E35" s="220">
        <v>99</v>
      </c>
      <c r="F35" s="238">
        <f t="shared" si="2"/>
        <v>520</v>
      </c>
      <c r="G35" s="220">
        <v>0</v>
      </c>
      <c r="H35" s="220">
        <f>'Notes-2yr'!D67</f>
        <v>520</v>
      </c>
      <c r="I35" s="220">
        <f>D35+F35</f>
        <v>3490</v>
      </c>
      <c r="J35" s="58" t="s">
        <v>137</v>
      </c>
      <c r="K35" s="294">
        <f t="shared" si="4"/>
        <v>0.05120481927710843</v>
      </c>
      <c r="L35" s="16"/>
      <c r="N35" s="180"/>
      <c r="O35" s="364"/>
      <c r="P35" s="306"/>
    </row>
    <row r="36" spans="1:15" ht="12.75">
      <c r="A36" s="267"/>
      <c r="B36" s="379" t="s">
        <v>15</v>
      </c>
      <c r="C36" s="331">
        <v>3020</v>
      </c>
      <c r="D36" s="223">
        <f>E36*15*2</f>
        <v>2670</v>
      </c>
      <c r="E36" s="220">
        <v>89</v>
      </c>
      <c r="F36" s="238">
        <f t="shared" si="2"/>
        <v>520</v>
      </c>
      <c r="G36" s="220">
        <v>0</v>
      </c>
      <c r="H36" s="220">
        <f>'Notes-2yr'!D67</f>
        <v>520</v>
      </c>
      <c r="I36" s="220">
        <f>D36+F36</f>
        <v>3190</v>
      </c>
      <c r="J36" s="58" t="s">
        <v>137</v>
      </c>
      <c r="K36" s="294">
        <f t="shared" si="4"/>
        <v>0.056291390728476824</v>
      </c>
      <c r="L36" s="16"/>
      <c r="M36" s="9"/>
      <c r="N36" s="180"/>
      <c r="O36" s="364"/>
    </row>
    <row r="37" spans="1:15" ht="12.75">
      <c r="A37" s="268"/>
      <c r="B37" s="380" t="s">
        <v>12</v>
      </c>
      <c r="C37" s="332">
        <v>4490</v>
      </c>
      <c r="D37" s="225">
        <f>E37*15*2</f>
        <v>4020</v>
      </c>
      <c r="E37" s="221">
        <v>134</v>
      </c>
      <c r="F37" s="239">
        <f t="shared" si="2"/>
        <v>520</v>
      </c>
      <c r="G37" s="221">
        <v>0</v>
      </c>
      <c r="H37" s="221">
        <f>'Notes-2yr'!D67</f>
        <v>520</v>
      </c>
      <c r="I37" s="221">
        <f>D37+F37</f>
        <v>4540</v>
      </c>
      <c r="J37" s="59" t="s">
        <v>137</v>
      </c>
      <c r="K37" s="295">
        <f t="shared" si="4"/>
        <v>0.011135857461024499</v>
      </c>
      <c r="L37" s="16"/>
      <c r="M37" s="9"/>
      <c r="N37" s="180"/>
      <c r="O37" s="364"/>
    </row>
    <row r="38" spans="1:16" ht="12.75">
      <c r="A38" s="7" t="s">
        <v>74</v>
      </c>
      <c r="B38" s="379" t="s">
        <v>11</v>
      </c>
      <c r="C38" s="331">
        <v>4512.5</v>
      </c>
      <c r="D38" s="223">
        <f t="shared" si="1"/>
        <v>3675</v>
      </c>
      <c r="E38" s="238">
        <v>122.5</v>
      </c>
      <c r="F38" s="238">
        <f>G38+H38</f>
        <v>837.5</v>
      </c>
      <c r="G38" s="220">
        <v>0</v>
      </c>
      <c r="H38" s="220">
        <f>'Notes-2yr'!D75</f>
        <v>837.5</v>
      </c>
      <c r="I38" s="220">
        <f t="shared" si="5"/>
        <v>4512.5</v>
      </c>
      <c r="J38" s="58" t="s">
        <v>127</v>
      </c>
      <c r="K38" s="294">
        <f t="shared" si="4"/>
        <v>0</v>
      </c>
      <c r="L38" s="16"/>
      <c r="N38" s="180"/>
      <c r="O38" s="364"/>
      <c r="P38" s="306"/>
    </row>
    <row r="39" spans="1:15" ht="12.75">
      <c r="A39" s="267"/>
      <c r="B39" s="379" t="s">
        <v>15</v>
      </c>
      <c r="C39" s="331">
        <v>3087.5</v>
      </c>
      <c r="D39" s="223">
        <f t="shared" si="1"/>
        <v>2250</v>
      </c>
      <c r="E39" s="220">
        <v>75</v>
      </c>
      <c r="F39" s="238">
        <f t="shared" si="2"/>
        <v>837.5</v>
      </c>
      <c r="G39" s="220">
        <v>0</v>
      </c>
      <c r="H39" s="220">
        <f>'Notes-2yr'!D75</f>
        <v>837.5</v>
      </c>
      <c r="I39" s="220">
        <f t="shared" si="5"/>
        <v>3087.5</v>
      </c>
      <c r="J39" s="58" t="s">
        <v>127</v>
      </c>
      <c r="K39" s="294">
        <f t="shared" si="4"/>
        <v>0</v>
      </c>
      <c r="L39" s="16"/>
      <c r="M39" s="9"/>
      <c r="N39" s="180"/>
      <c r="O39" s="364"/>
    </row>
    <row r="40" spans="1:15" ht="12.75">
      <c r="A40" s="268"/>
      <c r="B40" s="380" t="s">
        <v>12</v>
      </c>
      <c r="C40" s="332">
        <v>6087.5</v>
      </c>
      <c r="D40" s="225">
        <f t="shared" si="1"/>
        <v>5250</v>
      </c>
      <c r="E40" s="221">
        <v>175</v>
      </c>
      <c r="F40" s="239">
        <f t="shared" si="2"/>
        <v>837.5</v>
      </c>
      <c r="G40" s="221">
        <v>0</v>
      </c>
      <c r="H40" s="221">
        <f>'Notes-2yr'!D75</f>
        <v>837.5</v>
      </c>
      <c r="I40" s="221">
        <f t="shared" si="5"/>
        <v>6087.5</v>
      </c>
      <c r="J40" s="59" t="s">
        <v>127</v>
      </c>
      <c r="K40" s="295">
        <f t="shared" si="4"/>
        <v>0</v>
      </c>
      <c r="L40" s="16"/>
      <c r="M40" s="9"/>
      <c r="N40" s="180"/>
      <c r="O40" s="364"/>
    </row>
    <row r="41" spans="1:16" ht="12.75">
      <c r="A41" s="7" t="s">
        <v>19</v>
      </c>
      <c r="B41" s="379" t="s">
        <v>28</v>
      </c>
      <c r="C41" s="331">
        <v>3005</v>
      </c>
      <c r="D41" s="223">
        <f t="shared" si="1"/>
        <v>2520</v>
      </c>
      <c r="E41" s="220">
        <v>84</v>
      </c>
      <c r="F41" s="238">
        <f t="shared" si="2"/>
        <v>805</v>
      </c>
      <c r="G41" s="220">
        <v>0</v>
      </c>
      <c r="H41" s="220">
        <f>'Notes-2yr'!D84</f>
        <v>805</v>
      </c>
      <c r="I41" s="220">
        <f t="shared" si="5"/>
        <v>3325</v>
      </c>
      <c r="J41" s="58" t="s">
        <v>127</v>
      </c>
      <c r="K41" s="294">
        <f t="shared" si="4"/>
        <v>0.1064891846921797</v>
      </c>
      <c r="L41" s="16"/>
      <c r="N41" s="180"/>
      <c r="O41" s="364"/>
      <c r="P41" s="306"/>
    </row>
    <row r="42" spans="1:15" ht="12.75">
      <c r="A42" s="268"/>
      <c r="B42" s="380" t="s">
        <v>12</v>
      </c>
      <c r="C42" s="332">
        <v>5945</v>
      </c>
      <c r="D42" s="225">
        <f t="shared" si="1"/>
        <v>5460</v>
      </c>
      <c r="E42" s="221">
        <v>182</v>
      </c>
      <c r="F42" s="239">
        <f t="shared" si="2"/>
        <v>805</v>
      </c>
      <c r="G42" s="221">
        <v>0</v>
      </c>
      <c r="H42" s="221">
        <f>'Notes-2yr'!D84</f>
        <v>805</v>
      </c>
      <c r="I42" s="221">
        <f t="shared" si="5"/>
        <v>6265</v>
      </c>
      <c r="J42" s="59" t="s">
        <v>127</v>
      </c>
      <c r="K42" s="295">
        <f t="shared" si="4"/>
        <v>0.05382674516400336</v>
      </c>
      <c r="L42" s="16"/>
      <c r="M42" s="9"/>
      <c r="N42" s="180"/>
      <c r="O42" s="364"/>
    </row>
    <row r="43" spans="1:16" ht="12.75">
      <c r="A43" s="7" t="s">
        <v>20</v>
      </c>
      <c r="B43" s="379" t="s">
        <v>11</v>
      </c>
      <c r="C43" s="331">
        <v>2855</v>
      </c>
      <c r="D43" s="223">
        <f t="shared" si="1"/>
        <v>2392.5</v>
      </c>
      <c r="E43" s="220">
        <v>79.75</v>
      </c>
      <c r="F43" s="238">
        <f t="shared" si="2"/>
        <v>575</v>
      </c>
      <c r="G43" s="220">
        <v>0</v>
      </c>
      <c r="H43" s="220">
        <f>'Notes-2yr'!D91</f>
        <v>575</v>
      </c>
      <c r="I43" s="220">
        <f t="shared" si="5"/>
        <v>2967.5</v>
      </c>
      <c r="J43" s="58" t="s">
        <v>117</v>
      </c>
      <c r="K43" s="294">
        <f t="shared" si="4"/>
        <v>0.03940455341506129</v>
      </c>
      <c r="L43" s="16"/>
      <c r="N43" s="180"/>
      <c r="O43" s="364"/>
      <c r="P43" s="306"/>
    </row>
    <row r="44" spans="1:15" ht="12.75">
      <c r="A44" s="267"/>
      <c r="B44" s="379" t="s">
        <v>15</v>
      </c>
      <c r="C44" s="331">
        <v>2495</v>
      </c>
      <c r="D44" s="223">
        <f t="shared" si="1"/>
        <v>2017.5</v>
      </c>
      <c r="E44" s="220">
        <v>67.25</v>
      </c>
      <c r="F44" s="238">
        <f t="shared" si="2"/>
        <v>575</v>
      </c>
      <c r="G44" s="220">
        <v>0</v>
      </c>
      <c r="H44" s="220">
        <f>'Notes-2yr'!D91</f>
        <v>575</v>
      </c>
      <c r="I44" s="220">
        <f t="shared" si="5"/>
        <v>2592.5</v>
      </c>
      <c r="J44" s="58" t="s">
        <v>117</v>
      </c>
      <c r="K44" s="294">
        <f t="shared" si="4"/>
        <v>0.03907815631262525</v>
      </c>
      <c r="L44" s="16"/>
      <c r="M44" s="9"/>
      <c r="N44" s="180"/>
      <c r="O44" s="364"/>
    </row>
    <row r="45" spans="1:15" ht="12.75">
      <c r="A45" s="268"/>
      <c r="B45" s="380" t="s">
        <v>12</v>
      </c>
      <c r="C45" s="332">
        <v>4175</v>
      </c>
      <c r="D45" s="225">
        <f t="shared" si="1"/>
        <v>3750</v>
      </c>
      <c r="E45" s="221">
        <v>125</v>
      </c>
      <c r="F45" s="239">
        <f t="shared" si="2"/>
        <v>575</v>
      </c>
      <c r="G45" s="221">
        <v>0</v>
      </c>
      <c r="H45" s="221">
        <f>'Notes-2yr'!D91</f>
        <v>575</v>
      </c>
      <c r="I45" s="221">
        <f t="shared" si="5"/>
        <v>4325</v>
      </c>
      <c r="J45" s="59" t="s">
        <v>117</v>
      </c>
      <c r="K45" s="295">
        <f aca="true" t="shared" si="6" ref="K45:K66">((I45-C45)/C45)</f>
        <v>0.03592814371257485</v>
      </c>
      <c r="L45" s="16"/>
      <c r="M45" s="9"/>
      <c r="N45" s="180"/>
      <c r="O45" s="364"/>
    </row>
    <row r="46" spans="1:16" ht="12.75">
      <c r="A46" s="7" t="s">
        <v>21</v>
      </c>
      <c r="B46" s="379" t="s">
        <v>11</v>
      </c>
      <c r="C46" s="331">
        <v>3563</v>
      </c>
      <c r="D46" s="223">
        <f t="shared" si="1"/>
        <v>2850</v>
      </c>
      <c r="E46" s="220">
        <v>95</v>
      </c>
      <c r="F46" s="238">
        <f t="shared" si="2"/>
        <v>1163</v>
      </c>
      <c r="G46" s="220">
        <v>0</v>
      </c>
      <c r="H46" s="220">
        <f>'Notes-2yr'!D101</f>
        <v>1163</v>
      </c>
      <c r="I46" s="220">
        <f t="shared" si="5"/>
        <v>4013</v>
      </c>
      <c r="J46" s="58" t="s">
        <v>149</v>
      </c>
      <c r="K46" s="294">
        <f t="shared" si="6"/>
        <v>0.12629806342969407</v>
      </c>
      <c r="L46" s="16"/>
      <c r="N46" s="180"/>
      <c r="O46" s="364"/>
      <c r="P46" s="310"/>
    </row>
    <row r="47" spans="1:15" ht="12.75">
      <c r="A47" s="11"/>
      <c r="B47" s="380" t="s">
        <v>12</v>
      </c>
      <c r="C47" s="332">
        <v>5303</v>
      </c>
      <c r="D47" s="225">
        <f>E47*15*2</f>
        <v>4590</v>
      </c>
      <c r="E47" s="221">
        <v>153</v>
      </c>
      <c r="F47" s="239">
        <f t="shared" si="2"/>
        <v>1163</v>
      </c>
      <c r="G47" s="221">
        <v>0</v>
      </c>
      <c r="H47" s="221">
        <f>'Notes-2yr'!D101</f>
        <v>1163</v>
      </c>
      <c r="I47" s="221">
        <f t="shared" si="5"/>
        <v>5753</v>
      </c>
      <c r="J47" s="59" t="s">
        <v>149</v>
      </c>
      <c r="K47" s="295">
        <f t="shared" si="6"/>
        <v>0.08485762775787291</v>
      </c>
      <c r="L47" s="16"/>
      <c r="M47" s="9"/>
      <c r="N47" s="180"/>
      <c r="O47" s="364"/>
    </row>
    <row r="48" spans="1:16" ht="12.75">
      <c r="A48" s="7" t="s">
        <v>22</v>
      </c>
      <c r="B48" s="379" t="s">
        <v>11</v>
      </c>
      <c r="C48" s="331">
        <v>3180</v>
      </c>
      <c r="D48" s="223">
        <f t="shared" si="1"/>
        <v>2490</v>
      </c>
      <c r="E48" s="220">
        <v>83</v>
      </c>
      <c r="F48" s="238">
        <f>'Notes-2yr'!D109</f>
        <v>870</v>
      </c>
      <c r="G48" s="220">
        <v>0</v>
      </c>
      <c r="H48" s="220">
        <f>'Notes-2yr'!D109</f>
        <v>870</v>
      </c>
      <c r="I48" s="220">
        <f t="shared" si="5"/>
        <v>3360</v>
      </c>
      <c r="J48" s="58" t="s">
        <v>127</v>
      </c>
      <c r="K48" s="294">
        <f t="shared" si="6"/>
        <v>0.05660377358490566</v>
      </c>
      <c r="L48" s="16"/>
      <c r="N48" s="180"/>
      <c r="O48" s="364"/>
      <c r="P48" s="306"/>
    </row>
    <row r="49" spans="1:15" ht="12.75">
      <c r="A49" s="267"/>
      <c r="B49" s="379" t="s">
        <v>15</v>
      </c>
      <c r="C49" s="331">
        <v>2760</v>
      </c>
      <c r="D49" s="223">
        <f t="shared" si="1"/>
        <v>2070</v>
      </c>
      <c r="E49" s="220">
        <v>69</v>
      </c>
      <c r="F49" s="238">
        <f>'Notes-2yr'!D109</f>
        <v>870</v>
      </c>
      <c r="G49" s="220">
        <v>0</v>
      </c>
      <c r="H49" s="220">
        <f>'Notes-2yr'!D109</f>
        <v>870</v>
      </c>
      <c r="I49" s="220">
        <f t="shared" si="5"/>
        <v>2940</v>
      </c>
      <c r="J49" s="58" t="s">
        <v>127</v>
      </c>
      <c r="K49" s="294">
        <f t="shared" si="6"/>
        <v>0.06521739130434782</v>
      </c>
      <c r="L49" s="16"/>
      <c r="M49" s="9"/>
      <c r="N49" s="180"/>
      <c r="O49" s="364"/>
    </row>
    <row r="50" spans="1:15" ht="12.75">
      <c r="A50" s="268"/>
      <c r="B50" s="380" t="s">
        <v>12</v>
      </c>
      <c r="C50" s="332">
        <v>6330</v>
      </c>
      <c r="D50" s="225">
        <f t="shared" si="1"/>
        <v>5730</v>
      </c>
      <c r="E50" s="221">
        <v>191</v>
      </c>
      <c r="F50" s="239">
        <f>'Notes-2yr'!D109</f>
        <v>870</v>
      </c>
      <c r="G50" s="221">
        <v>0</v>
      </c>
      <c r="H50" s="221">
        <f>'Notes-2yr'!D109</f>
        <v>870</v>
      </c>
      <c r="I50" s="221">
        <f t="shared" si="5"/>
        <v>6600</v>
      </c>
      <c r="J50" s="59" t="s">
        <v>127</v>
      </c>
      <c r="K50" s="295">
        <f t="shared" si="6"/>
        <v>0.04265402843601896</v>
      </c>
      <c r="L50" s="16"/>
      <c r="M50" s="9"/>
      <c r="N50" s="180"/>
      <c r="O50" s="364"/>
    </row>
    <row r="51" spans="1:16" ht="12.75">
      <c r="A51" s="7" t="s">
        <v>23</v>
      </c>
      <c r="B51" s="379" t="s">
        <v>11</v>
      </c>
      <c r="C51" s="331">
        <v>3140</v>
      </c>
      <c r="D51" s="223">
        <f t="shared" si="1"/>
        <v>2820</v>
      </c>
      <c r="E51" s="220">
        <v>94</v>
      </c>
      <c r="F51" s="238">
        <f t="shared" si="2"/>
        <v>470</v>
      </c>
      <c r="G51" s="220">
        <v>0</v>
      </c>
      <c r="H51" s="220">
        <f>'Notes-2yr'!D116</f>
        <v>470</v>
      </c>
      <c r="I51" s="220">
        <f t="shared" si="5"/>
        <v>3290</v>
      </c>
      <c r="J51" s="58" t="s">
        <v>137</v>
      </c>
      <c r="K51" s="294">
        <f t="shared" si="6"/>
        <v>0.04777070063694268</v>
      </c>
      <c r="L51" s="16"/>
      <c r="N51" s="180"/>
      <c r="O51" s="364"/>
      <c r="P51" s="306"/>
    </row>
    <row r="52" spans="1:15" ht="12.75">
      <c r="A52" s="267"/>
      <c r="B52" s="379" t="s">
        <v>15</v>
      </c>
      <c r="C52" s="331">
        <v>2780</v>
      </c>
      <c r="D52" s="223">
        <f t="shared" si="1"/>
        <v>2430</v>
      </c>
      <c r="E52" s="220">
        <v>81</v>
      </c>
      <c r="F52" s="238">
        <f t="shared" si="2"/>
        <v>470</v>
      </c>
      <c r="G52" s="220">
        <v>0</v>
      </c>
      <c r="H52" s="220">
        <f>'Notes-2yr'!D116</f>
        <v>470</v>
      </c>
      <c r="I52" s="220">
        <f t="shared" si="5"/>
        <v>2900</v>
      </c>
      <c r="J52" s="58" t="s">
        <v>137</v>
      </c>
      <c r="K52" s="294">
        <f t="shared" si="6"/>
        <v>0.04316546762589928</v>
      </c>
      <c r="L52" s="16"/>
      <c r="M52" s="9"/>
      <c r="N52" s="180"/>
      <c r="O52" s="364"/>
    </row>
    <row r="53" spans="1:15" ht="12.75">
      <c r="A53" s="268"/>
      <c r="B53" s="380" t="s">
        <v>12</v>
      </c>
      <c r="C53" s="332">
        <v>5360</v>
      </c>
      <c r="D53" s="225">
        <f t="shared" si="1"/>
        <v>5070</v>
      </c>
      <c r="E53" s="221">
        <v>169</v>
      </c>
      <c r="F53" s="239">
        <f t="shared" si="2"/>
        <v>470</v>
      </c>
      <c r="G53" s="221">
        <v>0</v>
      </c>
      <c r="H53" s="221">
        <f>'Notes-2yr'!D116</f>
        <v>470</v>
      </c>
      <c r="I53" s="221">
        <f t="shared" si="5"/>
        <v>5540</v>
      </c>
      <c r="J53" s="59" t="s">
        <v>137</v>
      </c>
      <c r="K53" s="295">
        <f t="shared" si="6"/>
        <v>0.033582089552238806</v>
      </c>
      <c r="L53" s="16"/>
      <c r="M53" s="9"/>
      <c r="N53" s="180"/>
      <c r="O53" s="364"/>
    </row>
    <row r="54" spans="1:16" ht="12.75">
      <c r="A54" s="7" t="s">
        <v>25</v>
      </c>
      <c r="B54" s="379" t="s">
        <v>11</v>
      </c>
      <c r="C54" s="331">
        <v>4050</v>
      </c>
      <c r="D54" s="223">
        <f>E54*15*2</f>
        <v>3240</v>
      </c>
      <c r="E54" s="220">
        <v>108</v>
      </c>
      <c r="F54" s="238">
        <f t="shared" si="2"/>
        <v>810</v>
      </c>
      <c r="G54" s="220">
        <v>0</v>
      </c>
      <c r="H54" s="220">
        <f>'Notes-2yr'!D120</f>
        <v>810</v>
      </c>
      <c r="I54" s="220">
        <f>D54+F54</f>
        <v>4050</v>
      </c>
      <c r="J54" s="58" t="s">
        <v>127</v>
      </c>
      <c r="K54" s="294">
        <f t="shared" si="6"/>
        <v>0</v>
      </c>
      <c r="L54" s="16"/>
      <c r="N54" s="180"/>
      <c r="O54" s="364"/>
      <c r="P54" s="306"/>
    </row>
    <row r="55" spans="1:15" ht="12.75">
      <c r="A55" s="268"/>
      <c r="B55" s="380" t="s">
        <v>12</v>
      </c>
      <c r="C55" s="332">
        <v>5490</v>
      </c>
      <c r="D55" s="225">
        <f>E55*15*2</f>
        <v>4680</v>
      </c>
      <c r="E55" s="221">
        <v>156</v>
      </c>
      <c r="F55" s="239">
        <f t="shared" si="2"/>
        <v>810</v>
      </c>
      <c r="G55" s="221">
        <v>0</v>
      </c>
      <c r="H55" s="221">
        <f>'Notes-2yr'!D120</f>
        <v>810</v>
      </c>
      <c r="I55" s="221">
        <f t="shared" si="5"/>
        <v>5490</v>
      </c>
      <c r="J55" s="59" t="s">
        <v>127</v>
      </c>
      <c r="K55" s="295">
        <f t="shared" si="6"/>
        <v>0</v>
      </c>
      <c r="L55" s="16"/>
      <c r="M55" s="9"/>
      <c r="N55" s="180"/>
      <c r="O55" s="364"/>
    </row>
    <row r="56" spans="1:16" ht="12.75">
      <c r="A56" s="7" t="s">
        <v>24</v>
      </c>
      <c r="B56" s="379" t="s">
        <v>11</v>
      </c>
      <c r="C56" s="331">
        <v>3010</v>
      </c>
      <c r="D56" s="223">
        <f t="shared" si="1"/>
        <v>2520</v>
      </c>
      <c r="E56" s="220">
        <v>84</v>
      </c>
      <c r="F56" s="238">
        <f t="shared" si="2"/>
        <v>550</v>
      </c>
      <c r="G56" s="220">
        <v>0</v>
      </c>
      <c r="H56" s="220">
        <f>'Notes-2yr'!D126</f>
        <v>550</v>
      </c>
      <c r="I56" s="220">
        <f t="shared" si="5"/>
        <v>3070</v>
      </c>
      <c r="J56" s="58" t="s">
        <v>127</v>
      </c>
      <c r="K56" s="294">
        <f t="shared" si="6"/>
        <v>0.019933554817275746</v>
      </c>
      <c r="L56" s="16">
        <f>I56/2</f>
        <v>1535</v>
      </c>
      <c r="N56" s="180"/>
      <c r="O56" s="364"/>
      <c r="P56" s="306"/>
    </row>
    <row r="57" spans="1:15" ht="12.75">
      <c r="A57" s="268"/>
      <c r="B57" s="380" t="s">
        <v>12</v>
      </c>
      <c r="C57" s="332">
        <v>5470</v>
      </c>
      <c r="D57" s="225">
        <f t="shared" si="1"/>
        <v>5040</v>
      </c>
      <c r="E57" s="221">
        <v>168</v>
      </c>
      <c r="F57" s="239">
        <f t="shared" si="2"/>
        <v>550</v>
      </c>
      <c r="G57" s="221">
        <v>0</v>
      </c>
      <c r="H57" s="221">
        <f>'Notes-2yr'!D126</f>
        <v>550</v>
      </c>
      <c r="I57" s="221">
        <f t="shared" si="5"/>
        <v>5590</v>
      </c>
      <c r="J57" s="59" t="s">
        <v>127</v>
      </c>
      <c r="K57" s="295">
        <f t="shared" si="6"/>
        <v>0.021937842778793418</v>
      </c>
      <c r="L57" s="16">
        <f>I57/2</f>
        <v>2795</v>
      </c>
      <c r="M57" s="9"/>
      <c r="N57" s="180"/>
      <c r="O57" s="364"/>
    </row>
    <row r="58" spans="1:16" ht="12.75">
      <c r="A58" s="7" t="s">
        <v>27</v>
      </c>
      <c r="B58" s="379" t="s">
        <v>11</v>
      </c>
      <c r="C58" s="331">
        <v>3060</v>
      </c>
      <c r="D58" s="223">
        <f t="shared" si="1"/>
        <v>2475</v>
      </c>
      <c r="E58" s="220">
        <v>82.5</v>
      </c>
      <c r="F58" s="238">
        <f t="shared" si="2"/>
        <v>720</v>
      </c>
      <c r="G58" s="220">
        <v>0</v>
      </c>
      <c r="H58" s="220">
        <f>'Notes-2yr'!D135</f>
        <v>720</v>
      </c>
      <c r="I58" s="220">
        <f>D58+F58</f>
        <v>3195</v>
      </c>
      <c r="J58" s="58" t="s">
        <v>127</v>
      </c>
      <c r="K58" s="294">
        <f t="shared" si="6"/>
        <v>0.04411764705882353</v>
      </c>
      <c r="L58" s="16"/>
      <c r="N58" s="180"/>
      <c r="O58" s="364"/>
      <c r="P58" s="306"/>
    </row>
    <row r="59" spans="1:15" ht="12.75">
      <c r="A59" s="267"/>
      <c r="B59" s="379" t="s">
        <v>15</v>
      </c>
      <c r="C59" s="331">
        <v>2700</v>
      </c>
      <c r="D59" s="223">
        <f t="shared" si="1"/>
        <v>2100</v>
      </c>
      <c r="E59" s="220">
        <v>70</v>
      </c>
      <c r="F59" s="238">
        <f t="shared" si="2"/>
        <v>720</v>
      </c>
      <c r="G59" s="220">
        <v>0</v>
      </c>
      <c r="H59" s="220">
        <f>'Notes-2yr'!D135</f>
        <v>720</v>
      </c>
      <c r="I59" s="220">
        <f t="shared" si="5"/>
        <v>2820</v>
      </c>
      <c r="J59" s="58" t="s">
        <v>127</v>
      </c>
      <c r="K59" s="294">
        <f t="shared" si="6"/>
        <v>0.044444444444444446</v>
      </c>
      <c r="L59" s="16"/>
      <c r="M59" s="9"/>
      <c r="N59" s="180"/>
      <c r="O59" s="364"/>
    </row>
    <row r="60" spans="1:15" ht="12.75">
      <c r="A60" s="268"/>
      <c r="B60" s="380" t="s">
        <v>12</v>
      </c>
      <c r="C60" s="332">
        <v>4920</v>
      </c>
      <c r="D60" s="225">
        <f t="shared" si="1"/>
        <v>4200</v>
      </c>
      <c r="E60" s="221">
        <v>140</v>
      </c>
      <c r="F60" s="239">
        <f t="shared" si="2"/>
        <v>720</v>
      </c>
      <c r="G60" s="221">
        <v>0</v>
      </c>
      <c r="H60" s="221">
        <f>'Notes-2yr'!D135</f>
        <v>720</v>
      </c>
      <c r="I60" s="221">
        <f t="shared" si="5"/>
        <v>4920</v>
      </c>
      <c r="J60" s="59" t="s">
        <v>127</v>
      </c>
      <c r="K60" s="295">
        <f t="shared" si="6"/>
        <v>0</v>
      </c>
      <c r="L60" s="16"/>
      <c r="M60" s="9"/>
      <c r="N60" s="180"/>
      <c r="O60" s="364"/>
    </row>
    <row r="61" spans="1:16" ht="12.75">
      <c r="A61" s="7" t="s">
        <v>26</v>
      </c>
      <c r="B61" s="379" t="s">
        <v>11</v>
      </c>
      <c r="C61" s="331">
        <v>2421</v>
      </c>
      <c r="D61" s="223">
        <f t="shared" si="1"/>
        <v>2040</v>
      </c>
      <c r="E61" s="238">
        <v>68</v>
      </c>
      <c r="F61" s="238">
        <f t="shared" si="2"/>
        <v>520</v>
      </c>
      <c r="G61" s="220">
        <v>0</v>
      </c>
      <c r="H61" s="220">
        <f>'Notes-2yr'!D142</f>
        <v>520</v>
      </c>
      <c r="I61" s="220">
        <f t="shared" si="5"/>
        <v>2560</v>
      </c>
      <c r="J61" s="58" t="s">
        <v>127</v>
      </c>
      <c r="K61" s="294">
        <f t="shared" si="6"/>
        <v>0.05741429161503511</v>
      </c>
      <c r="L61" s="16"/>
      <c r="N61" s="180"/>
      <c r="O61" s="364"/>
      <c r="P61" s="306"/>
    </row>
    <row r="62" spans="1:15" ht="12.75">
      <c r="A62" s="267"/>
      <c r="B62" s="379" t="s">
        <v>15</v>
      </c>
      <c r="C62" s="331">
        <v>2271</v>
      </c>
      <c r="D62" s="223">
        <f t="shared" si="1"/>
        <v>1860</v>
      </c>
      <c r="E62" s="238">
        <v>62</v>
      </c>
      <c r="F62" s="238">
        <f t="shared" si="2"/>
        <v>520</v>
      </c>
      <c r="G62" s="220">
        <v>0</v>
      </c>
      <c r="H62" s="220">
        <f>'Notes-2yr'!D142</f>
        <v>520</v>
      </c>
      <c r="I62" s="220">
        <f t="shared" si="5"/>
        <v>2380</v>
      </c>
      <c r="J62" s="58" t="s">
        <v>127</v>
      </c>
      <c r="K62" s="294">
        <f t="shared" si="6"/>
        <v>0.0479964773227653</v>
      </c>
      <c r="L62" s="16"/>
      <c r="M62" s="9"/>
      <c r="N62" s="180"/>
      <c r="O62" s="364"/>
    </row>
    <row r="63" spans="1:15" ht="12.75">
      <c r="A63" s="268"/>
      <c r="B63" s="380" t="s">
        <v>12</v>
      </c>
      <c r="C63" s="332">
        <v>4386</v>
      </c>
      <c r="D63" s="225">
        <f t="shared" si="1"/>
        <v>4080</v>
      </c>
      <c r="E63" s="221">
        <v>136</v>
      </c>
      <c r="F63" s="239">
        <f t="shared" si="2"/>
        <v>520</v>
      </c>
      <c r="G63" s="221">
        <v>0</v>
      </c>
      <c r="H63" s="221">
        <f>'Notes-2yr'!D142</f>
        <v>520</v>
      </c>
      <c r="I63" s="221">
        <f t="shared" si="5"/>
        <v>4600</v>
      </c>
      <c r="J63" s="59" t="s">
        <v>127</v>
      </c>
      <c r="K63" s="295">
        <f t="shared" si="6"/>
        <v>0.04879160966712266</v>
      </c>
      <c r="L63" s="16"/>
      <c r="M63" s="9"/>
      <c r="N63" s="180"/>
      <c r="O63" s="364"/>
    </row>
    <row r="64" spans="1:16" ht="12.75">
      <c r="A64" s="7" t="s">
        <v>31</v>
      </c>
      <c r="B64" s="379" t="s">
        <v>28</v>
      </c>
      <c r="C64" s="331">
        <v>3500</v>
      </c>
      <c r="D64" s="223">
        <f t="shared" si="1"/>
        <v>2745</v>
      </c>
      <c r="E64" s="220">
        <v>91.5</v>
      </c>
      <c r="F64" s="238">
        <f t="shared" si="2"/>
        <v>890</v>
      </c>
      <c r="G64" s="220">
        <v>0</v>
      </c>
      <c r="H64" s="220">
        <f>'Notes-2yr'!D151</f>
        <v>890</v>
      </c>
      <c r="I64" s="220">
        <f t="shared" si="5"/>
        <v>3635</v>
      </c>
      <c r="J64" s="58" t="s">
        <v>127</v>
      </c>
      <c r="K64" s="294">
        <f t="shared" si="6"/>
        <v>0.03857142857142857</v>
      </c>
      <c r="L64" s="16"/>
      <c r="N64" s="180"/>
      <c r="O64" s="364"/>
      <c r="P64" s="306"/>
    </row>
    <row r="65" spans="1:15" ht="12.75">
      <c r="A65" s="7"/>
      <c r="B65" s="379" t="s">
        <v>15</v>
      </c>
      <c r="C65" s="331">
        <v>3290</v>
      </c>
      <c r="D65" s="223">
        <f t="shared" si="1"/>
        <v>2535</v>
      </c>
      <c r="E65" s="220">
        <v>84.5</v>
      </c>
      <c r="F65" s="238">
        <f t="shared" si="2"/>
        <v>890</v>
      </c>
      <c r="G65" s="220">
        <v>0</v>
      </c>
      <c r="H65" s="220">
        <f>'Notes-2yr'!D151</f>
        <v>890</v>
      </c>
      <c r="I65" s="220">
        <f t="shared" si="5"/>
        <v>3425</v>
      </c>
      <c r="J65" s="58" t="s">
        <v>127</v>
      </c>
      <c r="K65" s="294">
        <f t="shared" si="6"/>
        <v>0.041033434650455926</v>
      </c>
      <c r="L65" s="16"/>
      <c r="M65" s="9"/>
      <c r="N65" s="180"/>
      <c r="O65" s="364"/>
    </row>
    <row r="66" spans="1:15" ht="13.5" thickBot="1">
      <c r="A66" s="13"/>
      <c r="B66" s="381" t="s">
        <v>12</v>
      </c>
      <c r="C66" s="333">
        <v>4610</v>
      </c>
      <c r="D66" s="359">
        <f t="shared" si="1"/>
        <v>3840</v>
      </c>
      <c r="E66" s="360">
        <v>128</v>
      </c>
      <c r="F66" s="361">
        <f t="shared" si="2"/>
        <v>890</v>
      </c>
      <c r="G66" s="360">
        <v>0</v>
      </c>
      <c r="H66" s="360">
        <f>'Notes-2yr'!D151</f>
        <v>890</v>
      </c>
      <c r="I66" s="360">
        <f t="shared" si="5"/>
        <v>4730</v>
      </c>
      <c r="J66" s="362" t="s">
        <v>127</v>
      </c>
      <c r="K66" s="363">
        <f t="shared" si="6"/>
        <v>0.026030368763557483</v>
      </c>
      <c r="L66" s="16"/>
      <c r="M66" s="204"/>
      <c r="N66" s="180"/>
      <c r="O66" s="364"/>
    </row>
    <row r="67" spans="13:14" ht="13.5" thickTop="1">
      <c r="M67" s="186"/>
      <c r="N67" s="180"/>
    </row>
    <row r="68" spans="4:18" ht="12.75">
      <c r="D68" s="308"/>
      <c r="O68" s="205"/>
      <c r="P68" s="306"/>
      <c r="R68" s="307"/>
    </row>
    <row r="69" ht="17.25">
      <c r="A69" s="73" t="s">
        <v>262</v>
      </c>
    </row>
    <row r="70" ht="12.75">
      <c r="A70" s="18" t="s">
        <v>51</v>
      </c>
    </row>
    <row r="71" ht="12.75">
      <c r="A71" s="18" t="s">
        <v>52</v>
      </c>
    </row>
    <row r="72" ht="12.75">
      <c r="A72" s="18" t="s">
        <v>76</v>
      </c>
    </row>
    <row r="73" ht="12.75">
      <c r="A73" s="14" t="s">
        <v>77</v>
      </c>
    </row>
    <row r="74" ht="12.75">
      <c r="A74" s="18" t="s">
        <v>75</v>
      </c>
    </row>
    <row r="76" ht="12.75">
      <c r="A76" s="23" t="s">
        <v>261</v>
      </c>
    </row>
    <row r="109" ht="16.5">
      <c r="A109" s="17"/>
    </row>
  </sheetData>
  <sheetProtection/>
  <mergeCells count="5">
    <mergeCell ref="D5:F5"/>
    <mergeCell ref="D6:F6"/>
    <mergeCell ref="D4:J4"/>
    <mergeCell ref="A1:K1"/>
    <mergeCell ref="A2:K2"/>
  </mergeCells>
  <printOptions horizontalCentered="1"/>
  <pageMargins left="0.7" right="0.7" top="0.75" bottom="0.75" header="0.3" footer="0.3"/>
  <pageSetup fitToHeight="0" fitToWidth="1" horizontalDpi="600" verticalDpi="600" orientation="portrait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1"/>
  <sheetViews>
    <sheetView zoomScaleSheetLayoutView="100" zoomScalePageLayoutView="0" workbookViewId="0" topLeftCell="A91">
      <selection activeCell="V113" sqref="V113"/>
    </sheetView>
  </sheetViews>
  <sheetFormatPr defaultColWidth="9.140625" defaultRowHeight="12.75"/>
  <cols>
    <col min="1" max="1" width="10.8515625" style="20" customWidth="1"/>
    <col min="2" max="2" width="21.00390625" style="24" customWidth="1"/>
    <col min="3" max="3" width="13.8515625" style="21" customWidth="1"/>
    <col min="4" max="4" width="11.7109375" style="21" bestFit="1" customWidth="1"/>
    <col min="5" max="5" width="6.57421875" style="46" bestFit="1" customWidth="1"/>
    <col min="6" max="6" width="9.7109375" style="20" bestFit="1" customWidth="1"/>
    <col min="7" max="16384" width="9.140625" style="20" customWidth="1"/>
  </cols>
  <sheetData>
    <row r="1" spans="1:4" ht="13.5" thickBot="1">
      <c r="A1" s="47"/>
      <c r="B1" s="48" t="s">
        <v>43</v>
      </c>
      <c r="C1" s="49" t="s">
        <v>44</v>
      </c>
      <c r="D1" s="49" t="s">
        <v>118</v>
      </c>
    </row>
    <row r="2" spans="1:6" ht="12.75">
      <c r="A2" s="44" t="s">
        <v>121</v>
      </c>
      <c r="B2" s="8" t="s">
        <v>84</v>
      </c>
      <c r="C2" s="9" t="s">
        <v>153</v>
      </c>
      <c r="D2" s="26">
        <f>25*2</f>
        <v>50</v>
      </c>
      <c r="E2" s="9" t="s">
        <v>217</v>
      </c>
      <c r="F2" s="9"/>
    </row>
    <row r="3" spans="1:6" s="45" customFormat="1" ht="12.75">
      <c r="A3" s="44"/>
      <c r="B3" s="8" t="s">
        <v>125</v>
      </c>
      <c r="C3" s="9" t="s">
        <v>135</v>
      </c>
      <c r="D3" s="26">
        <f>6*15*2</f>
        <v>180</v>
      </c>
      <c r="E3" s="9" t="s">
        <v>217</v>
      </c>
      <c r="F3" s="9"/>
    </row>
    <row r="4" spans="1:6" s="45" customFormat="1" ht="12.75">
      <c r="A4" s="8"/>
      <c r="B4" s="8"/>
      <c r="C4" s="9"/>
      <c r="D4" s="26">
        <f>SUM(D2:D3)</f>
        <v>230</v>
      </c>
      <c r="E4" s="9"/>
      <c r="F4" s="9"/>
    </row>
    <row r="5" spans="1:6" s="45" customFormat="1" ht="12.75">
      <c r="A5" s="8"/>
      <c r="B5" s="8"/>
      <c r="C5" s="9"/>
      <c r="D5" s="26"/>
      <c r="E5" s="9"/>
      <c r="F5" s="9"/>
    </row>
    <row r="6" spans="1:6" ht="12.75">
      <c r="A6" s="44" t="s">
        <v>10</v>
      </c>
      <c r="B6" s="309" t="s">
        <v>47</v>
      </c>
      <c r="C6" s="9" t="s">
        <v>119</v>
      </c>
      <c r="D6" s="26">
        <f>3*15*2</f>
        <v>90</v>
      </c>
      <c r="E6" s="9" t="s">
        <v>218</v>
      </c>
      <c r="F6" s="9" t="s">
        <v>303</v>
      </c>
    </row>
    <row r="7" spans="1:6" ht="12.75">
      <c r="A7" s="44"/>
      <c r="B7" s="309" t="s">
        <v>123</v>
      </c>
      <c r="C7" s="9" t="s">
        <v>126</v>
      </c>
      <c r="D7" s="26">
        <f>4*15*2</f>
        <v>120</v>
      </c>
      <c r="E7" s="9" t="s">
        <v>217</v>
      </c>
      <c r="F7" s="9"/>
    </row>
    <row r="8" spans="1:6" ht="12.75">
      <c r="A8" s="44"/>
      <c r="B8" s="309" t="s">
        <v>299</v>
      </c>
      <c r="C8" s="9" t="s">
        <v>128</v>
      </c>
      <c r="D8" s="26">
        <f>5*15*2</f>
        <v>150</v>
      </c>
      <c r="E8" s="9" t="s">
        <v>217</v>
      </c>
      <c r="F8" s="9"/>
    </row>
    <row r="9" spans="1:6" ht="12.75">
      <c r="A9" s="44"/>
      <c r="B9" s="309" t="s">
        <v>392</v>
      </c>
      <c r="C9" s="9" t="s">
        <v>126</v>
      </c>
      <c r="D9" s="21">
        <f>4*15*2</f>
        <v>120</v>
      </c>
      <c r="E9" s="9" t="s">
        <v>217</v>
      </c>
      <c r="F9" s="9"/>
    </row>
    <row r="10" spans="1:6" ht="12.75">
      <c r="A10" s="44"/>
      <c r="B10" s="8"/>
      <c r="C10" s="312" t="s">
        <v>462</v>
      </c>
      <c r="D10" s="26">
        <f>SUM(D7:D9)</f>
        <v>390</v>
      </c>
      <c r="E10" s="9"/>
      <c r="F10" s="9"/>
    </row>
    <row r="11" spans="1:6" ht="12.75">
      <c r="A11" s="44"/>
      <c r="B11" s="8"/>
      <c r="C11" s="312" t="s">
        <v>463</v>
      </c>
      <c r="D11" s="26">
        <f>SUM(D6)</f>
        <v>90</v>
      </c>
      <c r="E11" s="9"/>
      <c r="F11" s="9"/>
    </row>
    <row r="12" spans="1:6" ht="12.75">
      <c r="A12" s="44"/>
      <c r="B12" s="8"/>
      <c r="C12" s="312" t="s">
        <v>35</v>
      </c>
      <c r="D12" s="26">
        <f>D10+D11</f>
        <v>480</v>
      </c>
      <c r="E12" s="9"/>
      <c r="F12" s="9"/>
    </row>
    <row r="13" spans="1:6" ht="12.75">
      <c r="A13" s="44"/>
      <c r="B13" s="8"/>
      <c r="C13" s="9"/>
      <c r="D13" s="26"/>
      <c r="E13" s="9"/>
      <c r="F13" s="9"/>
    </row>
    <row r="14" spans="1:6" ht="12.75">
      <c r="A14" s="44" t="s">
        <v>14</v>
      </c>
      <c r="B14" s="8" t="s">
        <v>123</v>
      </c>
      <c r="C14" s="9" t="s">
        <v>383</v>
      </c>
      <c r="D14" s="26">
        <f>17*15*2</f>
        <v>510</v>
      </c>
      <c r="E14" s="9" t="s">
        <v>217</v>
      </c>
      <c r="F14" s="9"/>
    </row>
    <row r="15" spans="1:6" ht="12.75">
      <c r="A15" s="44"/>
      <c r="B15" s="8" t="s">
        <v>392</v>
      </c>
      <c r="C15" s="9" t="s">
        <v>128</v>
      </c>
      <c r="D15" s="26">
        <f>5*15*2</f>
        <v>150</v>
      </c>
      <c r="E15" s="9" t="s">
        <v>217</v>
      </c>
      <c r="F15" s="9"/>
    </row>
    <row r="16" spans="1:6" ht="12.75">
      <c r="A16" s="44"/>
      <c r="B16" s="8"/>
      <c r="C16" s="9"/>
      <c r="D16" s="26">
        <f>SUM(D14:D15)</f>
        <v>660</v>
      </c>
      <c r="E16" s="9"/>
      <c r="F16" s="9"/>
    </row>
    <row r="17" spans="1:6" ht="12.75">
      <c r="A17" s="44"/>
      <c r="B17" s="8"/>
      <c r="C17" s="9"/>
      <c r="D17" s="26"/>
      <c r="E17" s="9"/>
      <c r="F17" s="9"/>
    </row>
    <row r="18" spans="1:6" ht="12.75">
      <c r="A18" s="44" t="s">
        <v>13</v>
      </c>
      <c r="B18" s="8" t="s">
        <v>412</v>
      </c>
      <c r="C18" s="9" t="s">
        <v>150</v>
      </c>
      <c r="D18" s="26">
        <f>7*15*2</f>
        <v>210</v>
      </c>
      <c r="E18" s="9" t="s">
        <v>217</v>
      </c>
      <c r="F18" s="9"/>
    </row>
    <row r="19" spans="1:6" ht="12.75">
      <c r="A19" s="44"/>
      <c r="B19" s="8" t="s">
        <v>392</v>
      </c>
      <c r="C19" s="9" t="s">
        <v>135</v>
      </c>
      <c r="D19" s="26">
        <f>6*15*2</f>
        <v>180</v>
      </c>
      <c r="E19" s="9" t="s">
        <v>217</v>
      </c>
      <c r="F19" s="9"/>
    </row>
    <row r="20" spans="1:6" ht="12.75">
      <c r="A20" s="44"/>
      <c r="B20" s="8" t="s">
        <v>271</v>
      </c>
      <c r="C20" s="9" t="s">
        <v>120</v>
      </c>
      <c r="D20" s="26">
        <f>2*15*2</f>
        <v>60</v>
      </c>
      <c r="E20" s="9" t="s">
        <v>217</v>
      </c>
      <c r="F20" s="9"/>
    </row>
    <row r="21" spans="1:6" ht="12.75">
      <c r="A21" s="44"/>
      <c r="B21" s="8"/>
      <c r="C21" s="9"/>
      <c r="D21" s="26">
        <f>SUM(D18:D20)</f>
        <v>450</v>
      </c>
      <c r="E21" s="9"/>
      <c r="F21" s="9"/>
    </row>
    <row r="22" spans="1:6" ht="12.75">
      <c r="A22" s="44"/>
      <c r="B22" s="8"/>
      <c r="C22" s="9"/>
      <c r="D22" s="26"/>
      <c r="E22" s="9"/>
      <c r="F22" s="9"/>
    </row>
    <row r="23" spans="1:6" ht="12.75">
      <c r="A23" s="44" t="s">
        <v>79</v>
      </c>
      <c r="B23" s="8" t="s">
        <v>360</v>
      </c>
      <c r="C23" s="9" t="s">
        <v>447</v>
      </c>
      <c r="D23" s="26">
        <f>16*15*2</f>
        <v>480</v>
      </c>
      <c r="E23" s="9" t="s">
        <v>217</v>
      </c>
      <c r="F23" s="9"/>
    </row>
    <row r="24" spans="1:6" ht="12.75">
      <c r="A24" s="44"/>
      <c r="B24" s="8" t="s">
        <v>271</v>
      </c>
      <c r="C24" s="9" t="s">
        <v>134</v>
      </c>
      <c r="D24" s="26">
        <f>1*15*2</f>
        <v>30</v>
      </c>
      <c r="E24" s="9" t="s">
        <v>217</v>
      </c>
      <c r="F24" s="9"/>
    </row>
    <row r="25" spans="1:6" ht="12.75">
      <c r="A25" s="44"/>
      <c r="B25" s="8" t="s">
        <v>65</v>
      </c>
      <c r="C25" s="9" t="s">
        <v>134</v>
      </c>
      <c r="D25" s="26">
        <f>1*15*2</f>
        <v>30</v>
      </c>
      <c r="E25" s="9" t="s">
        <v>217</v>
      </c>
      <c r="F25" s="9"/>
    </row>
    <row r="26" spans="1:6" ht="12.75">
      <c r="A26" s="44"/>
      <c r="B26" s="8" t="s">
        <v>515</v>
      </c>
      <c r="C26" s="9" t="s">
        <v>134</v>
      </c>
      <c r="D26" s="26">
        <f>1*15*2</f>
        <v>30</v>
      </c>
      <c r="E26" s="9" t="s">
        <v>217</v>
      </c>
      <c r="F26" s="9"/>
    </row>
    <row r="27" spans="1:6" ht="12.75">
      <c r="A27" s="44"/>
      <c r="B27" s="8"/>
      <c r="C27" s="9"/>
      <c r="D27" s="26">
        <f>SUM(D23:D26)</f>
        <v>570</v>
      </c>
      <c r="E27" s="9"/>
      <c r="F27" s="9"/>
    </row>
    <row r="28" spans="1:6" ht="12.75">
      <c r="A28" s="44"/>
      <c r="B28" s="8"/>
      <c r="C28" s="9"/>
      <c r="D28" s="26"/>
      <c r="E28" s="9"/>
      <c r="F28" s="9"/>
    </row>
    <row r="29" spans="1:6" ht="22.5" customHeight="1">
      <c r="A29" s="44" t="s">
        <v>30</v>
      </c>
      <c r="B29" s="244" t="s">
        <v>385</v>
      </c>
      <c r="C29" s="9" t="s">
        <v>384</v>
      </c>
      <c r="D29" s="26">
        <f>62*2</f>
        <v>124</v>
      </c>
      <c r="E29" s="9" t="s">
        <v>217</v>
      </c>
      <c r="F29" s="9"/>
    </row>
    <row r="30" spans="1:6" ht="12.75">
      <c r="A30" s="8"/>
      <c r="B30" s="8" t="s">
        <v>70</v>
      </c>
      <c r="C30" s="9" t="s">
        <v>131</v>
      </c>
      <c r="D30" s="26">
        <f>2*2</f>
        <v>4</v>
      </c>
      <c r="E30" s="9" t="s">
        <v>217</v>
      </c>
      <c r="F30" s="9"/>
    </row>
    <row r="31" spans="1:6" ht="12.75">
      <c r="A31" s="8"/>
      <c r="B31" s="8" t="s">
        <v>60</v>
      </c>
      <c r="C31" s="9" t="s">
        <v>150</v>
      </c>
      <c r="D31" s="26">
        <f>7*15*2</f>
        <v>210</v>
      </c>
      <c r="E31" s="9" t="s">
        <v>217</v>
      </c>
      <c r="F31" s="9"/>
    </row>
    <row r="32" spans="1:6" ht="12.75">
      <c r="A32" s="8"/>
      <c r="B32" s="8" t="s">
        <v>342</v>
      </c>
      <c r="C32" s="9" t="s">
        <v>366</v>
      </c>
      <c r="D32" s="26">
        <f>7*2</f>
        <v>14</v>
      </c>
      <c r="E32" s="9" t="s">
        <v>217</v>
      </c>
      <c r="F32" s="9"/>
    </row>
    <row r="33" spans="1:6" ht="12.75">
      <c r="A33" s="8"/>
      <c r="B33" s="8" t="s">
        <v>345</v>
      </c>
      <c r="C33" s="9" t="s">
        <v>128</v>
      </c>
      <c r="D33" s="26">
        <f>5*15*2</f>
        <v>150</v>
      </c>
      <c r="E33" s="9" t="s">
        <v>217</v>
      </c>
      <c r="F33" s="9"/>
    </row>
    <row r="34" spans="1:6" ht="12.75">
      <c r="A34" s="8"/>
      <c r="B34" s="8"/>
      <c r="C34" s="9"/>
      <c r="D34" s="26">
        <f>SUM(D29:D33)</f>
        <v>502</v>
      </c>
      <c r="E34" s="9"/>
      <c r="F34" s="9"/>
    </row>
    <row r="35" spans="1:6" ht="12.75">
      <c r="A35" s="8"/>
      <c r="B35" s="8"/>
      <c r="C35" s="9"/>
      <c r="D35" s="26"/>
      <c r="E35" s="9"/>
      <c r="F35" s="9"/>
    </row>
    <row r="36" spans="1:6" ht="12.75">
      <c r="A36" s="44" t="s">
        <v>417</v>
      </c>
      <c r="B36" s="8" t="s">
        <v>70</v>
      </c>
      <c r="C36" s="9" t="s">
        <v>120</v>
      </c>
      <c r="D36" s="26">
        <f>2*15*2</f>
        <v>60</v>
      </c>
      <c r="E36" s="9" t="s">
        <v>217</v>
      </c>
      <c r="F36" s="9"/>
    </row>
    <row r="37" spans="1:6" ht="12.75">
      <c r="A37" s="8"/>
      <c r="B37" s="8" t="s">
        <v>129</v>
      </c>
      <c r="C37" s="10" t="s">
        <v>138</v>
      </c>
      <c r="D37" s="26">
        <f>10*15*2</f>
        <v>300</v>
      </c>
      <c r="E37" s="9" t="s">
        <v>217</v>
      </c>
      <c r="F37" s="9"/>
    </row>
    <row r="38" spans="1:6" ht="12.75">
      <c r="A38" s="8"/>
      <c r="B38" s="8" t="s">
        <v>60</v>
      </c>
      <c r="C38" s="10" t="s">
        <v>376</v>
      </c>
      <c r="D38" s="26">
        <f>9*15*2</f>
        <v>270</v>
      </c>
      <c r="E38" s="9" t="s">
        <v>217</v>
      </c>
      <c r="F38" s="9"/>
    </row>
    <row r="39" spans="1:6" ht="12.75">
      <c r="A39" s="8"/>
      <c r="B39" s="8" t="s">
        <v>343</v>
      </c>
      <c r="C39" s="9" t="s">
        <v>124</v>
      </c>
      <c r="D39" s="26">
        <f>10*2</f>
        <v>20</v>
      </c>
      <c r="E39" s="9" t="s">
        <v>217</v>
      </c>
      <c r="F39" s="9"/>
    </row>
    <row r="40" spans="1:6" ht="12.75">
      <c r="A40" s="8"/>
      <c r="B40" s="8" t="s">
        <v>344</v>
      </c>
      <c r="C40" s="9" t="s">
        <v>124</v>
      </c>
      <c r="D40" s="26">
        <f>10*2</f>
        <v>20</v>
      </c>
      <c r="E40" s="9" t="s">
        <v>217</v>
      </c>
      <c r="F40" s="9"/>
    </row>
    <row r="41" spans="1:6" ht="12.75">
      <c r="A41" s="8"/>
      <c r="B41" s="8"/>
      <c r="C41" s="9"/>
      <c r="D41" s="26">
        <f>SUM(D36:D40)</f>
        <v>670</v>
      </c>
      <c r="E41" s="9"/>
      <c r="F41" s="9"/>
    </row>
    <row r="42" spans="1:6" ht="12.75">
      <c r="A42" s="8"/>
      <c r="B42" s="8"/>
      <c r="C42" s="9"/>
      <c r="D42" s="26"/>
      <c r="E42" s="9"/>
      <c r="F42" s="9"/>
    </row>
    <row r="43" spans="1:6" ht="12.75">
      <c r="A43" s="8"/>
      <c r="B43" s="8"/>
      <c r="C43" s="9"/>
      <c r="D43" s="26"/>
      <c r="E43" s="9"/>
      <c r="F43" s="9"/>
    </row>
    <row r="44" spans="1:6" ht="12.75">
      <c r="A44" s="44" t="s">
        <v>16</v>
      </c>
      <c r="B44" s="8" t="s">
        <v>518</v>
      </c>
      <c r="C44" s="9" t="s">
        <v>135</v>
      </c>
      <c r="D44" s="26">
        <f>6*15*2</f>
        <v>180</v>
      </c>
      <c r="E44" s="9" t="s">
        <v>217</v>
      </c>
      <c r="F44" s="9"/>
    </row>
    <row r="45" spans="1:6" s="45" customFormat="1" ht="12.75">
      <c r="A45" s="44"/>
      <c r="B45" s="8" t="s">
        <v>129</v>
      </c>
      <c r="C45" s="9" t="s">
        <v>119</v>
      </c>
      <c r="D45" s="26">
        <f>3*15*2</f>
        <v>90</v>
      </c>
      <c r="E45" s="9" t="s">
        <v>217</v>
      </c>
      <c r="F45" s="9"/>
    </row>
    <row r="46" spans="1:6" s="45" customFormat="1" ht="12.75">
      <c r="A46" s="8"/>
      <c r="B46" s="8"/>
      <c r="C46" s="9"/>
      <c r="D46" s="26">
        <f>SUM(D44:D45)</f>
        <v>270</v>
      </c>
      <c r="E46" s="9"/>
      <c r="F46" s="9"/>
    </row>
    <row r="47" spans="1:6" s="45" customFormat="1" ht="12.75">
      <c r="A47" s="8"/>
      <c r="B47" s="8"/>
      <c r="C47" s="9"/>
      <c r="D47" s="26"/>
      <c r="E47" s="9"/>
      <c r="F47" s="9"/>
    </row>
    <row r="48" spans="1:6" ht="12.75">
      <c r="A48" s="44" t="s">
        <v>17</v>
      </c>
      <c r="B48" s="8" t="s">
        <v>152</v>
      </c>
      <c r="C48" s="9" t="s">
        <v>120</v>
      </c>
      <c r="D48" s="26">
        <f>2*15*2</f>
        <v>60</v>
      </c>
      <c r="E48" s="9" t="s">
        <v>217</v>
      </c>
      <c r="F48" s="9"/>
    </row>
    <row r="49" spans="1:6" ht="12.75">
      <c r="A49" s="44"/>
      <c r="B49" s="8" t="s">
        <v>129</v>
      </c>
      <c r="C49" s="9" t="s">
        <v>148</v>
      </c>
      <c r="D49" s="26">
        <f>8*15*2</f>
        <v>240</v>
      </c>
      <c r="E49" s="9" t="s">
        <v>217</v>
      </c>
      <c r="F49" s="9"/>
    </row>
    <row r="50" spans="1:6" ht="12.75">
      <c r="A50" s="44"/>
      <c r="B50" s="8" t="s">
        <v>85</v>
      </c>
      <c r="C50" s="9" t="s">
        <v>120</v>
      </c>
      <c r="D50" s="26">
        <f>2*15*2</f>
        <v>60</v>
      </c>
      <c r="E50" s="9" t="s">
        <v>217</v>
      </c>
      <c r="F50" s="9"/>
    </row>
    <row r="51" spans="1:6" ht="12.75">
      <c r="A51" s="44"/>
      <c r="B51" s="8" t="s">
        <v>57</v>
      </c>
      <c r="C51" s="9" t="s">
        <v>136</v>
      </c>
      <c r="D51" s="26">
        <f>5*2</f>
        <v>10</v>
      </c>
      <c r="E51" s="9" t="s">
        <v>217</v>
      </c>
      <c r="F51" s="9"/>
    </row>
    <row r="52" spans="1:6" ht="12.75">
      <c r="A52" s="44"/>
      <c r="B52" s="8" t="s">
        <v>363</v>
      </c>
      <c r="C52" s="9" t="s">
        <v>120</v>
      </c>
      <c r="D52" s="26">
        <f>2*15*2</f>
        <v>60</v>
      </c>
      <c r="E52" s="9" t="s">
        <v>217</v>
      </c>
      <c r="F52" s="9"/>
    </row>
    <row r="53" spans="1:6" ht="12.75">
      <c r="A53" s="44"/>
      <c r="B53" s="8" t="s">
        <v>519</v>
      </c>
      <c r="C53" s="9" t="s">
        <v>120</v>
      </c>
      <c r="D53" s="26">
        <f>2*15*2</f>
        <v>60</v>
      </c>
      <c r="E53" s="9" t="s">
        <v>217</v>
      </c>
      <c r="F53" s="9"/>
    </row>
    <row r="54" spans="1:6" ht="12.75">
      <c r="A54" s="8"/>
      <c r="B54" s="8"/>
      <c r="C54" s="9"/>
      <c r="D54" s="26">
        <f>SUM(D48:D53)</f>
        <v>490</v>
      </c>
      <c r="E54" s="9"/>
      <c r="F54" s="9"/>
    </row>
    <row r="55" spans="1:6" ht="12.75">
      <c r="A55" s="8"/>
      <c r="B55" s="8"/>
      <c r="C55" s="9"/>
      <c r="D55" s="26"/>
      <c r="E55" s="9"/>
      <c r="F55" s="9"/>
    </row>
    <row r="56" spans="1:6" s="45" customFormat="1" ht="12.75">
      <c r="A56" s="44" t="s">
        <v>18</v>
      </c>
      <c r="B56" s="8" t="s">
        <v>70</v>
      </c>
      <c r="C56" s="9" t="s">
        <v>119</v>
      </c>
      <c r="D56" s="26">
        <f>3*15*2</f>
        <v>90</v>
      </c>
      <c r="E56" s="9" t="s">
        <v>217</v>
      </c>
      <c r="F56" s="9"/>
    </row>
    <row r="57" spans="1:6" s="45" customFormat="1" ht="12.75">
      <c r="A57" s="44"/>
      <c r="B57" s="8" t="s">
        <v>326</v>
      </c>
      <c r="C57" s="9" t="s">
        <v>120</v>
      </c>
      <c r="D57" s="26">
        <f>2*15*2</f>
        <v>60</v>
      </c>
      <c r="E57" s="9" t="s">
        <v>217</v>
      </c>
      <c r="F57" s="9"/>
    </row>
    <row r="58" spans="1:6" s="45" customFormat="1" ht="12.75">
      <c r="A58" s="44"/>
      <c r="B58" s="8" t="s">
        <v>59</v>
      </c>
      <c r="C58" s="9" t="s">
        <v>128</v>
      </c>
      <c r="D58" s="26">
        <f>5*15*2</f>
        <v>150</v>
      </c>
      <c r="E58" s="9" t="s">
        <v>217</v>
      </c>
      <c r="F58" s="9"/>
    </row>
    <row r="59" spans="1:6" s="45" customFormat="1" ht="12.75">
      <c r="A59" s="44"/>
      <c r="B59" s="8" t="s">
        <v>356</v>
      </c>
      <c r="C59" s="9" t="s">
        <v>119</v>
      </c>
      <c r="D59" s="26">
        <f>3*15*2</f>
        <v>90</v>
      </c>
      <c r="E59" s="9" t="s">
        <v>217</v>
      </c>
      <c r="F59" s="9"/>
    </row>
    <row r="60" spans="1:6" s="45" customFormat="1" ht="12.75">
      <c r="A60" s="44"/>
      <c r="B60" s="8"/>
      <c r="C60" s="9"/>
      <c r="D60" s="26">
        <f>SUM(D56:D59)</f>
        <v>390</v>
      </c>
      <c r="E60" s="9"/>
      <c r="F60" s="9"/>
    </row>
    <row r="61" spans="1:6" s="45" customFormat="1" ht="12.75">
      <c r="A61" s="44"/>
      <c r="B61" s="8"/>
      <c r="C61" s="9"/>
      <c r="D61" s="26"/>
      <c r="E61" s="9"/>
      <c r="F61" s="9"/>
    </row>
    <row r="62" spans="1:6" s="45" customFormat="1" ht="12.75">
      <c r="A62" s="44" t="s">
        <v>122</v>
      </c>
      <c r="B62" s="8" t="s">
        <v>359</v>
      </c>
      <c r="C62" s="9" t="s">
        <v>142</v>
      </c>
      <c r="D62" s="26">
        <f>50*2</f>
        <v>100</v>
      </c>
      <c r="E62" s="9" t="s">
        <v>217</v>
      </c>
      <c r="F62" s="9"/>
    </row>
    <row r="63" spans="1:6" s="45" customFormat="1" ht="12.75">
      <c r="A63" s="44"/>
      <c r="B63" s="8" t="s">
        <v>60</v>
      </c>
      <c r="C63" s="9" t="s">
        <v>142</v>
      </c>
      <c r="D63" s="26">
        <f>50*2</f>
        <v>100</v>
      </c>
      <c r="E63" s="9" t="s">
        <v>217</v>
      </c>
      <c r="F63" s="9"/>
    </row>
    <row r="64" spans="1:6" s="45" customFormat="1" ht="12.75">
      <c r="A64" s="44"/>
      <c r="B64" s="8" t="s">
        <v>271</v>
      </c>
      <c r="C64" s="9" t="s">
        <v>134</v>
      </c>
      <c r="D64" s="26">
        <f>1*15*2</f>
        <v>30</v>
      </c>
      <c r="E64" s="9" t="s">
        <v>217</v>
      </c>
      <c r="F64" s="9"/>
    </row>
    <row r="65" spans="1:6" s="45" customFormat="1" ht="12.75">
      <c r="A65" s="44"/>
      <c r="B65" s="8" t="s">
        <v>129</v>
      </c>
      <c r="C65" s="9" t="s">
        <v>148</v>
      </c>
      <c r="D65" s="26">
        <f>8*15*2</f>
        <v>240</v>
      </c>
      <c r="E65" s="9" t="s">
        <v>217</v>
      </c>
      <c r="F65" s="9"/>
    </row>
    <row r="66" spans="1:6" s="45" customFormat="1" ht="12.75">
      <c r="A66" s="44"/>
      <c r="B66" s="8" t="s">
        <v>363</v>
      </c>
      <c r="C66" s="9" t="s">
        <v>153</v>
      </c>
      <c r="D66" s="26">
        <v>50</v>
      </c>
      <c r="E66" s="9" t="s">
        <v>217</v>
      </c>
      <c r="F66" s="9"/>
    </row>
    <row r="67" spans="1:6" s="45" customFormat="1" ht="12.75">
      <c r="A67" s="44"/>
      <c r="B67" s="8"/>
      <c r="C67" s="9"/>
      <c r="D67" s="26">
        <f>SUM(D62:D66)</f>
        <v>520</v>
      </c>
      <c r="E67" s="9"/>
      <c r="F67" s="9"/>
    </row>
    <row r="68" spans="1:6" s="45" customFormat="1" ht="12.75">
      <c r="A68" s="44"/>
      <c r="B68" s="8"/>
      <c r="C68" s="9"/>
      <c r="D68" s="26"/>
      <c r="E68" s="9"/>
      <c r="F68" s="9"/>
    </row>
    <row r="69" spans="1:6" s="45" customFormat="1" ht="12.75">
      <c r="A69" s="44" t="s">
        <v>74</v>
      </c>
      <c r="B69" s="8" t="s">
        <v>129</v>
      </c>
      <c r="C69" s="9" t="s">
        <v>451</v>
      </c>
      <c r="D69" s="26">
        <f>10.75*15*2</f>
        <v>322.5</v>
      </c>
      <c r="E69" s="9" t="s">
        <v>217</v>
      </c>
      <c r="F69" s="9"/>
    </row>
    <row r="70" spans="1:6" s="45" customFormat="1" ht="12.75">
      <c r="A70" s="44"/>
      <c r="B70" s="8" t="s">
        <v>133</v>
      </c>
      <c r="C70" s="9" t="s">
        <v>414</v>
      </c>
      <c r="D70" s="26">
        <f>8.5*15*2</f>
        <v>255</v>
      </c>
      <c r="E70" s="9" t="s">
        <v>217</v>
      </c>
      <c r="F70" s="9"/>
    </row>
    <row r="71" spans="1:6" s="45" customFormat="1" ht="12.75">
      <c r="A71" s="44"/>
      <c r="B71" s="8" t="s">
        <v>60</v>
      </c>
      <c r="C71" s="9" t="s">
        <v>413</v>
      </c>
      <c r="D71" s="26">
        <f>55*2</f>
        <v>110</v>
      </c>
      <c r="E71" s="9" t="s">
        <v>217</v>
      </c>
      <c r="F71" s="9"/>
    </row>
    <row r="72" spans="1:6" s="45" customFormat="1" ht="12.75">
      <c r="A72" s="44"/>
      <c r="B72" s="8" t="s">
        <v>415</v>
      </c>
      <c r="C72" s="9" t="s">
        <v>120</v>
      </c>
      <c r="D72" s="26">
        <f>2*15*2</f>
        <v>60</v>
      </c>
      <c r="E72" s="9" t="s">
        <v>217</v>
      </c>
      <c r="F72" s="9"/>
    </row>
    <row r="73" spans="1:6" s="45" customFormat="1" ht="12.75">
      <c r="A73" s="44"/>
      <c r="B73" s="8" t="s">
        <v>363</v>
      </c>
      <c r="C73" s="9" t="s">
        <v>416</v>
      </c>
      <c r="D73" s="26">
        <f>1.5*15*2</f>
        <v>45</v>
      </c>
      <c r="E73" s="9" t="s">
        <v>217</v>
      </c>
      <c r="F73" s="9"/>
    </row>
    <row r="74" spans="1:6" s="45" customFormat="1" ht="12.75">
      <c r="A74" s="44"/>
      <c r="B74" s="8" t="s">
        <v>452</v>
      </c>
      <c r="C74" s="9" t="s">
        <v>416</v>
      </c>
      <c r="D74" s="26">
        <f>1.5*15*2</f>
        <v>45</v>
      </c>
      <c r="E74" s="9" t="s">
        <v>217</v>
      </c>
      <c r="F74" s="9"/>
    </row>
    <row r="75" spans="1:6" s="45" customFormat="1" ht="12.75">
      <c r="A75" s="8"/>
      <c r="B75" s="8"/>
      <c r="C75" s="9"/>
      <c r="D75" s="26">
        <f>SUM(D69:D74)</f>
        <v>837.5</v>
      </c>
      <c r="E75" s="9"/>
      <c r="F75" s="9"/>
    </row>
    <row r="76" spans="1:6" s="45" customFormat="1" ht="12.75">
      <c r="A76" s="8"/>
      <c r="B76" s="8"/>
      <c r="C76" s="9"/>
      <c r="D76" s="26"/>
      <c r="E76" s="9"/>
      <c r="F76" s="9"/>
    </row>
    <row r="77" spans="1:6" ht="12.75">
      <c r="A77" s="8"/>
      <c r="B77" s="8"/>
      <c r="C77" s="9"/>
      <c r="D77" s="26"/>
      <c r="E77" s="9"/>
      <c r="F77" s="9"/>
    </row>
    <row r="78" spans="1:6" ht="12.75">
      <c r="A78" s="44" t="s">
        <v>19</v>
      </c>
      <c r="B78" s="8" t="s">
        <v>123</v>
      </c>
      <c r="C78" s="9" t="s">
        <v>297</v>
      </c>
      <c r="D78" s="26">
        <f>12*15*2</f>
        <v>360</v>
      </c>
      <c r="E78" s="9" t="s">
        <v>217</v>
      </c>
      <c r="F78" s="9"/>
    </row>
    <row r="79" spans="1:6" ht="12.75">
      <c r="A79" s="44"/>
      <c r="B79" s="8" t="s">
        <v>129</v>
      </c>
      <c r="C79" s="9" t="s">
        <v>142</v>
      </c>
      <c r="D79" s="26">
        <f>50*2</f>
        <v>100</v>
      </c>
      <c r="E79" s="9" t="s">
        <v>217</v>
      </c>
      <c r="F79" s="9"/>
    </row>
    <row r="80" spans="1:6" ht="12.75">
      <c r="A80" s="44"/>
      <c r="B80" s="8" t="s">
        <v>300</v>
      </c>
      <c r="C80" s="9" t="s">
        <v>128</v>
      </c>
      <c r="D80" s="26">
        <f>5*15*2</f>
        <v>150</v>
      </c>
      <c r="E80" s="9" t="s">
        <v>217</v>
      </c>
      <c r="F80" s="9"/>
    </row>
    <row r="81" spans="1:6" ht="12.75">
      <c r="A81" s="44"/>
      <c r="B81" s="8" t="s">
        <v>281</v>
      </c>
      <c r="C81" s="9" t="s">
        <v>418</v>
      </c>
      <c r="D81" s="26">
        <f>2.5*15*2</f>
        <v>75</v>
      </c>
      <c r="E81" s="9" t="s">
        <v>217</v>
      </c>
      <c r="F81" s="9"/>
    </row>
    <row r="82" spans="1:6" ht="12.75">
      <c r="A82" s="44"/>
      <c r="B82" s="8" t="s">
        <v>392</v>
      </c>
      <c r="C82" s="9" t="s">
        <v>120</v>
      </c>
      <c r="D82" s="26">
        <f>2*15*2</f>
        <v>60</v>
      </c>
      <c r="E82" s="9" t="s">
        <v>217</v>
      </c>
      <c r="F82" s="9"/>
    </row>
    <row r="83" spans="1:6" ht="12.75">
      <c r="A83" s="44"/>
      <c r="B83" s="8" t="s">
        <v>48</v>
      </c>
      <c r="C83" s="9" t="s">
        <v>120</v>
      </c>
      <c r="D83" s="26">
        <f>2*15*2</f>
        <v>60</v>
      </c>
      <c r="E83" s="9" t="s">
        <v>217</v>
      </c>
      <c r="F83" s="9"/>
    </row>
    <row r="84" spans="1:6" ht="12.75">
      <c r="A84" s="8"/>
      <c r="B84" s="8"/>
      <c r="C84" s="9"/>
      <c r="D84" s="26">
        <f>SUM(D78:D83)</f>
        <v>805</v>
      </c>
      <c r="E84" s="9"/>
      <c r="F84" s="9"/>
    </row>
    <row r="85" spans="1:6" ht="12.75">
      <c r="A85" s="8"/>
      <c r="B85" s="8"/>
      <c r="C85" s="9"/>
      <c r="D85" s="26"/>
      <c r="E85" s="9"/>
      <c r="F85" s="9"/>
    </row>
    <row r="86" spans="1:6" ht="12.75">
      <c r="A86" s="44" t="s">
        <v>20</v>
      </c>
      <c r="B86" s="8" t="s">
        <v>329</v>
      </c>
      <c r="C86" s="9" t="s">
        <v>135</v>
      </c>
      <c r="D86" s="26">
        <f>6*15*2</f>
        <v>180</v>
      </c>
      <c r="E86" s="9" t="s">
        <v>217</v>
      </c>
      <c r="F86" s="9"/>
    </row>
    <row r="87" spans="2:6" ht="12.75">
      <c r="B87" s="8" t="s">
        <v>129</v>
      </c>
      <c r="C87" s="9" t="s">
        <v>135</v>
      </c>
      <c r="D87" s="26">
        <f>6*15*2</f>
        <v>180</v>
      </c>
      <c r="E87" s="9" t="s">
        <v>217</v>
      </c>
      <c r="F87" s="9"/>
    </row>
    <row r="88" spans="2:6" s="45" customFormat="1" ht="12.75">
      <c r="B88" s="8" t="s">
        <v>140</v>
      </c>
      <c r="C88" s="9" t="s">
        <v>124</v>
      </c>
      <c r="D88" s="26">
        <f>10*2</f>
        <v>20</v>
      </c>
      <c r="E88" s="9" t="s">
        <v>217</v>
      </c>
      <c r="F88" s="9"/>
    </row>
    <row r="89" spans="2:6" s="45" customFormat="1" ht="12.75">
      <c r="B89" s="8" t="s">
        <v>144</v>
      </c>
      <c r="C89" s="9" t="s">
        <v>418</v>
      </c>
      <c r="D89" s="26">
        <f>2.5*15*2</f>
        <v>75</v>
      </c>
      <c r="E89" s="9" t="s">
        <v>217</v>
      </c>
      <c r="F89" s="9"/>
    </row>
    <row r="90" spans="2:6" s="45" customFormat="1" ht="12.75">
      <c r="B90" s="8" t="s">
        <v>362</v>
      </c>
      <c r="C90" s="9" t="s">
        <v>126</v>
      </c>
      <c r="D90" s="26">
        <f>4*15*2</f>
        <v>120</v>
      </c>
      <c r="E90" s="9" t="s">
        <v>217</v>
      </c>
      <c r="F90" s="9"/>
    </row>
    <row r="91" spans="1:6" s="45" customFormat="1" ht="12.75">
      <c r="A91" s="44"/>
      <c r="B91" s="8"/>
      <c r="C91" s="9"/>
      <c r="D91" s="26">
        <f>SUM(D86:D90)</f>
        <v>575</v>
      </c>
      <c r="E91" s="26"/>
      <c r="F91" s="9"/>
    </row>
    <row r="92" spans="1:6" s="45" customFormat="1" ht="12.75">
      <c r="A92" s="8"/>
      <c r="B92" s="8"/>
      <c r="C92" s="9"/>
      <c r="D92" s="26"/>
      <c r="E92" s="9"/>
      <c r="F92" s="9"/>
    </row>
    <row r="93" spans="1:6" s="45" customFormat="1" ht="12.75">
      <c r="A93" s="44" t="s">
        <v>21</v>
      </c>
      <c r="B93" s="8" t="s">
        <v>65</v>
      </c>
      <c r="C93" s="9" t="s">
        <v>136</v>
      </c>
      <c r="D93" s="26">
        <f>5*2</f>
        <v>10</v>
      </c>
      <c r="E93" s="9" t="s">
        <v>217</v>
      </c>
      <c r="F93" s="9"/>
    </row>
    <row r="94" spans="2:6" s="45" customFormat="1" ht="12.75">
      <c r="B94" s="8" t="s">
        <v>67</v>
      </c>
      <c r="C94" s="9" t="s">
        <v>358</v>
      </c>
      <c r="D94" s="26">
        <f>13*15*2</f>
        <v>390</v>
      </c>
      <c r="E94" s="9" t="s">
        <v>217</v>
      </c>
      <c r="F94" s="9"/>
    </row>
    <row r="95" spans="2:6" s="45" customFormat="1" ht="12.75">
      <c r="B95" s="8" t="s">
        <v>59</v>
      </c>
      <c r="C95" s="9" t="s">
        <v>150</v>
      </c>
      <c r="D95" s="26">
        <f>7*15*2</f>
        <v>210</v>
      </c>
      <c r="E95" s="9" t="s">
        <v>217</v>
      </c>
      <c r="F95" s="9"/>
    </row>
    <row r="96" spans="2:6" s="45" customFormat="1" ht="12.75">
      <c r="B96" s="8" t="s">
        <v>281</v>
      </c>
      <c r="C96" s="9" t="s">
        <v>130</v>
      </c>
      <c r="D96" s="26">
        <f>20*2</f>
        <v>40</v>
      </c>
      <c r="E96" s="9" t="s">
        <v>217</v>
      </c>
      <c r="F96" s="9"/>
    </row>
    <row r="97" spans="1:6" s="45" customFormat="1" ht="12.75">
      <c r="A97" s="8"/>
      <c r="B97" s="8" t="s">
        <v>301</v>
      </c>
      <c r="C97" s="9" t="s">
        <v>124</v>
      </c>
      <c r="D97" s="26">
        <f>10*2</f>
        <v>20</v>
      </c>
      <c r="E97" s="9" t="s">
        <v>217</v>
      </c>
      <c r="F97" s="9"/>
    </row>
    <row r="98" spans="1:6" s="45" customFormat="1" ht="12.75">
      <c r="A98" s="8"/>
      <c r="B98" s="8" t="s">
        <v>419</v>
      </c>
      <c r="C98" s="9" t="s">
        <v>420</v>
      </c>
      <c r="D98" s="26">
        <f>11.5*2</f>
        <v>23</v>
      </c>
      <c r="E98" s="9" t="s">
        <v>217</v>
      </c>
      <c r="F98" s="9"/>
    </row>
    <row r="99" spans="1:6" s="45" customFormat="1" ht="12.75">
      <c r="A99" s="8"/>
      <c r="B99" s="8" t="s">
        <v>48</v>
      </c>
      <c r="C99" s="9" t="s">
        <v>124</v>
      </c>
      <c r="D99" s="26">
        <f>10*2</f>
        <v>20</v>
      </c>
      <c r="E99" s="9" t="s">
        <v>217</v>
      </c>
      <c r="F99" s="9"/>
    </row>
    <row r="100" spans="1:6" s="45" customFormat="1" ht="12.75">
      <c r="A100" s="8"/>
      <c r="B100" s="8" t="s">
        <v>88</v>
      </c>
      <c r="C100" s="9" t="s">
        <v>400</v>
      </c>
      <c r="D100" s="26">
        <f>15*15*2</f>
        <v>450</v>
      </c>
      <c r="E100" s="9" t="s">
        <v>217</v>
      </c>
      <c r="F100" s="9"/>
    </row>
    <row r="101" spans="1:6" s="45" customFormat="1" ht="12.75">
      <c r="A101" s="8"/>
      <c r="D101" s="26">
        <f>SUM(D93:D100)</f>
        <v>1163</v>
      </c>
      <c r="E101" s="9"/>
      <c r="F101" s="9"/>
    </row>
    <row r="102" spans="1:6" s="45" customFormat="1" ht="12.75">
      <c r="A102" s="8"/>
      <c r="B102" s="8"/>
      <c r="C102" s="9"/>
      <c r="D102" s="26"/>
      <c r="E102" s="9"/>
      <c r="F102" s="9"/>
    </row>
    <row r="103" spans="1:6" s="45" customFormat="1" ht="12.75">
      <c r="A103" s="44" t="s">
        <v>22</v>
      </c>
      <c r="B103" s="8" t="s">
        <v>70</v>
      </c>
      <c r="C103" s="50" t="s">
        <v>120</v>
      </c>
      <c r="D103" s="26">
        <f>2*15*2</f>
        <v>60</v>
      </c>
      <c r="E103" s="9" t="s">
        <v>217</v>
      </c>
      <c r="F103" s="9"/>
    </row>
    <row r="104" spans="2:6" s="45" customFormat="1" ht="12.75">
      <c r="B104" s="8" t="s">
        <v>129</v>
      </c>
      <c r="C104" s="9" t="s">
        <v>402</v>
      </c>
      <c r="D104" s="26">
        <f>11*15*2</f>
        <v>330</v>
      </c>
      <c r="E104" s="9" t="s">
        <v>217</v>
      </c>
      <c r="F104" s="9"/>
    </row>
    <row r="105" spans="2:6" s="45" customFormat="1" ht="12.75">
      <c r="B105" s="8" t="s">
        <v>146</v>
      </c>
      <c r="C105" s="9" t="s">
        <v>119</v>
      </c>
      <c r="D105" s="26">
        <f>3*15*2</f>
        <v>90</v>
      </c>
      <c r="E105" s="9" t="s">
        <v>217</v>
      </c>
      <c r="F105" s="9"/>
    </row>
    <row r="106" spans="2:6" s="45" customFormat="1" ht="12.75">
      <c r="B106" s="8" t="s">
        <v>364</v>
      </c>
      <c r="C106" s="9" t="s">
        <v>119</v>
      </c>
      <c r="D106" s="26">
        <f>3*15*2</f>
        <v>90</v>
      </c>
      <c r="E106" s="9" t="s">
        <v>217</v>
      </c>
      <c r="F106" s="9"/>
    </row>
    <row r="107" spans="2:6" s="45" customFormat="1" ht="12.75">
      <c r="B107" s="8" t="s">
        <v>453</v>
      </c>
      <c r="C107" s="9" t="s">
        <v>128</v>
      </c>
      <c r="D107" s="26">
        <f>5*15*2</f>
        <v>150</v>
      </c>
      <c r="E107" s="9" t="s">
        <v>217</v>
      </c>
      <c r="F107" s="9"/>
    </row>
    <row r="108" spans="2:6" s="45" customFormat="1" ht="12.75">
      <c r="B108" s="8" t="s">
        <v>363</v>
      </c>
      <c r="C108" s="9" t="s">
        <v>128</v>
      </c>
      <c r="D108" s="26">
        <f>5*15*2</f>
        <v>150</v>
      </c>
      <c r="E108" s="9" t="s">
        <v>217</v>
      </c>
      <c r="F108" s="9"/>
    </row>
    <row r="109" spans="1:6" ht="12.75">
      <c r="A109" s="44"/>
      <c r="B109" s="8"/>
      <c r="C109" s="9"/>
      <c r="D109" s="26">
        <f>SUM(D103:D108)</f>
        <v>870</v>
      </c>
      <c r="E109" s="9"/>
      <c r="F109" s="9"/>
    </row>
    <row r="110" spans="1:6" ht="12.75">
      <c r="A110" s="44"/>
      <c r="B110" s="8"/>
      <c r="C110" s="9"/>
      <c r="D110" s="26"/>
      <c r="E110" s="9"/>
      <c r="F110" s="9"/>
    </row>
    <row r="111" spans="1:6" ht="12.75">
      <c r="A111" s="44" t="s">
        <v>23</v>
      </c>
      <c r="B111" s="8" t="s">
        <v>151</v>
      </c>
      <c r="C111" s="9" t="s">
        <v>153</v>
      </c>
      <c r="D111" s="26">
        <f>25*2</f>
        <v>50</v>
      </c>
      <c r="E111" s="9" t="s">
        <v>217</v>
      </c>
      <c r="F111" s="9"/>
    </row>
    <row r="112" spans="2:6" ht="12.75">
      <c r="B112" s="8" t="s">
        <v>129</v>
      </c>
      <c r="C112" s="9" t="s">
        <v>148</v>
      </c>
      <c r="D112" s="26">
        <f>8*15*2</f>
        <v>240</v>
      </c>
      <c r="E112" s="9" t="s">
        <v>217</v>
      </c>
      <c r="F112" s="9"/>
    </row>
    <row r="113" spans="1:6" ht="12.75">
      <c r="A113" s="44"/>
      <c r="B113" s="8" t="s">
        <v>271</v>
      </c>
      <c r="C113" s="9" t="s">
        <v>134</v>
      </c>
      <c r="D113" s="26">
        <f>1*15*2</f>
        <v>30</v>
      </c>
      <c r="E113" s="9" t="s">
        <v>217</v>
      </c>
      <c r="F113" s="9"/>
    </row>
    <row r="114" spans="1:6" ht="12.75">
      <c r="A114" s="44"/>
      <c r="B114" s="8" t="s">
        <v>363</v>
      </c>
      <c r="C114" s="9" t="s">
        <v>126</v>
      </c>
      <c r="D114" s="26">
        <f>4*15*2</f>
        <v>120</v>
      </c>
      <c r="E114" s="9" t="s">
        <v>217</v>
      </c>
      <c r="F114" s="9"/>
    </row>
    <row r="115" spans="1:6" ht="12.75">
      <c r="A115" s="44"/>
      <c r="B115" s="8" t="s">
        <v>386</v>
      </c>
      <c r="C115" s="9" t="s">
        <v>134</v>
      </c>
      <c r="D115" s="26">
        <f>1*15*2</f>
        <v>30</v>
      </c>
      <c r="E115" s="9" t="s">
        <v>217</v>
      </c>
      <c r="F115" s="9"/>
    </row>
    <row r="116" spans="2:6" ht="12.75">
      <c r="B116" s="8"/>
      <c r="C116" s="9"/>
      <c r="D116" s="26">
        <f>SUM(D111:D115)</f>
        <v>470</v>
      </c>
      <c r="E116" s="9"/>
      <c r="F116" s="9"/>
    </row>
    <row r="117" spans="1:6" ht="12.75">
      <c r="A117" s="44"/>
      <c r="B117" s="8"/>
      <c r="C117" s="9"/>
      <c r="D117" s="26"/>
      <c r="E117" s="9"/>
      <c r="F117" s="9"/>
    </row>
    <row r="118" spans="1:6" s="45" customFormat="1" ht="12.75">
      <c r="A118" s="44" t="s">
        <v>25</v>
      </c>
      <c r="B118" s="8" t="s">
        <v>327</v>
      </c>
      <c r="C118" s="9" t="s">
        <v>454</v>
      </c>
      <c r="D118" s="26">
        <f>25*15*2</f>
        <v>750</v>
      </c>
      <c r="E118" s="9" t="s">
        <v>217</v>
      </c>
      <c r="F118" s="9"/>
    </row>
    <row r="119" spans="1:6" s="45" customFormat="1" ht="12.75">
      <c r="A119" s="44"/>
      <c r="B119" s="8" t="s">
        <v>421</v>
      </c>
      <c r="C119" s="9" t="s">
        <v>120</v>
      </c>
      <c r="D119" s="26">
        <f>2*15*2</f>
        <v>60</v>
      </c>
      <c r="E119" s="9" t="s">
        <v>217</v>
      </c>
      <c r="F119" s="9"/>
    </row>
    <row r="120" spans="2:6" s="45" customFormat="1" ht="12.75">
      <c r="B120" s="8"/>
      <c r="C120" s="9"/>
      <c r="D120" s="26">
        <f>SUM(D118:D119)</f>
        <v>810</v>
      </c>
      <c r="E120" s="9"/>
      <c r="F120" s="9"/>
    </row>
    <row r="121" spans="2:6" s="45" customFormat="1" ht="12.75">
      <c r="B121" s="8"/>
      <c r="C121" s="9"/>
      <c r="D121" s="26"/>
      <c r="E121" s="9"/>
      <c r="F121" s="9"/>
    </row>
    <row r="122" spans="1:6" ht="12.75">
      <c r="A122" s="44" t="s">
        <v>24</v>
      </c>
      <c r="B122" s="8" t="s">
        <v>65</v>
      </c>
      <c r="C122" s="9" t="s">
        <v>136</v>
      </c>
      <c r="D122" s="26">
        <f>5*2</f>
        <v>10</v>
      </c>
      <c r="E122" s="9" t="s">
        <v>217</v>
      </c>
      <c r="F122" s="9"/>
    </row>
    <row r="123" spans="2:6" ht="12.75">
      <c r="B123" s="8" t="s">
        <v>129</v>
      </c>
      <c r="C123" s="9" t="s">
        <v>138</v>
      </c>
      <c r="D123" s="26">
        <f>10*15*2</f>
        <v>300</v>
      </c>
      <c r="E123" s="9" t="s">
        <v>217</v>
      </c>
      <c r="F123" s="9"/>
    </row>
    <row r="124" spans="1:6" ht="12.75">
      <c r="A124" s="44"/>
      <c r="B124" s="8" t="s">
        <v>330</v>
      </c>
      <c r="C124" s="9" t="s">
        <v>135</v>
      </c>
      <c r="D124" s="26">
        <f>6*15*2</f>
        <v>180</v>
      </c>
      <c r="E124" s="9" t="s">
        <v>217</v>
      </c>
      <c r="F124" s="9"/>
    </row>
    <row r="125" spans="1:6" ht="12.75">
      <c r="A125" s="44"/>
      <c r="B125" s="8" t="s">
        <v>271</v>
      </c>
      <c r="C125" s="9" t="s">
        <v>120</v>
      </c>
      <c r="D125" s="26">
        <f>2*15*2</f>
        <v>60</v>
      </c>
      <c r="E125" s="9" t="s">
        <v>217</v>
      </c>
      <c r="F125" s="9"/>
    </row>
    <row r="126" spans="2:6" ht="12.75">
      <c r="B126" s="8"/>
      <c r="C126" s="9"/>
      <c r="D126" s="26">
        <f>SUM(D122:D125)</f>
        <v>550</v>
      </c>
      <c r="E126" s="9"/>
      <c r="F126" s="9"/>
    </row>
    <row r="127" spans="1:6" ht="12.75">
      <c r="A127" s="44"/>
      <c r="B127" s="8"/>
      <c r="C127" s="9"/>
      <c r="D127" s="26"/>
      <c r="E127" s="9"/>
      <c r="F127" s="9"/>
    </row>
    <row r="128" spans="1:6" ht="12.75">
      <c r="A128" s="44" t="s">
        <v>27</v>
      </c>
      <c r="B128" s="8" t="s">
        <v>65</v>
      </c>
      <c r="C128" s="9" t="s">
        <v>136</v>
      </c>
      <c r="D128" s="26">
        <f>5*2</f>
        <v>10</v>
      </c>
      <c r="E128" s="9" t="s">
        <v>217</v>
      </c>
      <c r="F128" s="9"/>
    </row>
    <row r="129" spans="2:6" ht="12.75">
      <c r="B129" s="8" t="s">
        <v>70</v>
      </c>
      <c r="C129" s="9" t="s">
        <v>150</v>
      </c>
      <c r="D129" s="26">
        <f>7*15*2</f>
        <v>210</v>
      </c>
      <c r="E129" s="9" t="s">
        <v>217</v>
      </c>
      <c r="F129" s="9"/>
    </row>
    <row r="130" spans="1:6" ht="12.75">
      <c r="A130" s="8"/>
      <c r="B130" s="8" t="s">
        <v>129</v>
      </c>
      <c r="C130" s="9" t="s">
        <v>135</v>
      </c>
      <c r="D130" s="26">
        <f>6*15*2</f>
        <v>180</v>
      </c>
      <c r="E130" s="9" t="s">
        <v>217</v>
      </c>
      <c r="F130" s="9"/>
    </row>
    <row r="131" spans="2:6" ht="12.75">
      <c r="B131" s="8" t="s">
        <v>139</v>
      </c>
      <c r="C131" s="9" t="s">
        <v>135</v>
      </c>
      <c r="D131" s="26">
        <f>6*15*2</f>
        <v>180</v>
      </c>
      <c r="E131" s="9" t="s">
        <v>217</v>
      </c>
      <c r="F131" s="9"/>
    </row>
    <row r="132" spans="1:6" ht="12.75">
      <c r="A132" s="44"/>
      <c r="B132" s="8" t="s">
        <v>331</v>
      </c>
      <c r="C132" s="9" t="s">
        <v>126</v>
      </c>
      <c r="D132" s="26">
        <f>4*15*2</f>
        <v>120</v>
      </c>
      <c r="E132" s="9" t="s">
        <v>217</v>
      </c>
      <c r="F132" s="9"/>
    </row>
    <row r="133" spans="1:6" ht="12.75">
      <c r="A133" s="44"/>
      <c r="B133" s="8" t="s">
        <v>87</v>
      </c>
      <c r="C133" s="9" t="s">
        <v>136</v>
      </c>
      <c r="D133" s="26">
        <f>5*2</f>
        <v>10</v>
      </c>
      <c r="E133" s="9" t="s">
        <v>217</v>
      </c>
      <c r="F133" s="9"/>
    </row>
    <row r="134" spans="1:6" ht="12.75">
      <c r="A134" s="44"/>
      <c r="B134" s="8" t="s">
        <v>455</v>
      </c>
      <c r="C134" s="9" t="s">
        <v>136</v>
      </c>
      <c r="D134" s="26">
        <f>5*2</f>
        <v>10</v>
      </c>
      <c r="E134" s="9" t="s">
        <v>217</v>
      </c>
      <c r="F134" s="9"/>
    </row>
    <row r="135" spans="1:6" ht="12.75">
      <c r="A135" s="44"/>
      <c r="B135" s="8"/>
      <c r="C135" s="9"/>
      <c r="D135" s="26">
        <f>SUM(D128:D134)</f>
        <v>720</v>
      </c>
      <c r="E135" s="9"/>
      <c r="F135" s="9"/>
    </row>
    <row r="136" spans="1:6" ht="12.75">
      <c r="A136" s="44"/>
      <c r="B136" s="8"/>
      <c r="C136" s="9"/>
      <c r="D136" s="26"/>
      <c r="E136" s="9"/>
      <c r="F136" s="9"/>
    </row>
    <row r="137" spans="1:6" ht="12.75">
      <c r="A137" s="44" t="s">
        <v>26</v>
      </c>
      <c r="B137" s="8" t="s">
        <v>70</v>
      </c>
      <c r="C137" s="9" t="s">
        <v>134</v>
      </c>
      <c r="D137" s="26">
        <f>1*15*2</f>
        <v>30</v>
      </c>
      <c r="E137" s="9" t="s">
        <v>217</v>
      </c>
      <c r="F137" s="9"/>
    </row>
    <row r="138" spans="1:6" ht="12.75">
      <c r="A138" s="44"/>
      <c r="B138" s="8" t="s">
        <v>264</v>
      </c>
      <c r="C138" s="9" t="s">
        <v>136</v>
      </c>
      <c r="D138" s="26">
        <f>5*2</f>
        <v>10</v>
      </c>
      <c r="E138" s="9" t="s">
        <v>217</v>
      </c>
      <c r="F138" s="9"/>
    </row>
    <row r="139" spans="1:6" ht="12.75">
      <c r="A139" s="44"/>
      <c r="B139" s="8" t="s">
        <v>145</v>
      </c>
      <c r="C139" s="9" t="s">
        <v>376</v>
      </c>
      <c r="D139" s="26">
        <f>9*15*2</f>
        <v>270</v>
      </c>
      <c r="E139" s="9" t="s">
        <v>217</v>
      </c>
      <c r="F139" s="9"/>
    </row>
    <row r="140" spans="1:6" ht="12.75">
      <c r="A140" s="44"/>
      <c r="B140" s="8" t="s">
        <v>363</v>
      </c>
      <c r="C140" s="9" t="s">
        <v>126</v>
      </c>
      <c r="D140" s="26">
        <f>4*15*2</f>
        <v>120</v>
      </c>
      <c r="E140" s="9" t="s">
        <v>217</v>
      </c>
      <c r="F140" s="9"/>
    </row>
    <row r="141" spans="1:6" ht="12.75">
      <c r="A141" s="44"/>
      <c r="B141" s="8" t="s">
        <v>60</v>
      </c>
      <c r="C141" s="9" t="s">
        <v>119</v>
      </c>
      <c r="D141" s="26">
        <f>3*15*2</f>
        <v>90</v>
      </c>
      <c r="E141" s="9" t="s">
        <v>217</v>
      </c>
      <c r="F141" s="9"/>
    </row>
    <row r="142" spans="2:6" ht="12.75">
      <c r="B142" s="8"/>
      <c r="C142" s="9"/>
      <c r="D142" s="26">
        <f>SUM(D137:D141)</f>
        <v>520</v>
      </c>
      <c r="E142" s="9"/>
      <c r="F142" s="9"/>
    </row>
    <row r="143" spans="2:6" ht="12.75">
      <c r="B143" s="8"/>
      <c r="C143" s="9"/>
      <c r="D143" s="26"/>
      <c r="E143" s="9"/>
      <c r="F143" s="9"/>
    </row>
    <row r="144" spans="2:6" ht="12.75">
      <c r="B144" s="8"/>
      <c r="C144" s="9"/>
      <c r="D144" s="26"/>
      <c r="E144" s="9"/>
      <c r="F144" s="9"/>
    </row>
    <row r="145" spans="1:6" ht="12.75">
      <c r="A145" s="44" t="s">
        <v>31</v>
      </c>
      <c r="B145" s="8" t="s">
        <v>70</v>
      </c>
      <c r="C145" s="9" t="s">
        <v>134</v>
      </c>
      <c r="D145" s="26">
        <f>1*15*2</f>
        <v>30</v>
      </c>
      <c r="E145" s="9" t="s">
        <v>217</v>
      </c>
      <c r="F145" s="9"/>
    </row>
    <row r="146" spans="2:6" ht="12.75">
      <c r="B146" s="8" t="s">
        <v>265</v>
      </c>
      <c r="C146" s="9" t="s">
        <v>124</v>
      </c>
      <c r="D146" s="26">
        <f>10*2</f>
        <v>20</v>
      </c>
      <c r="E146" s="9" t="s">
        <v>217</v>
      </c>
      <c r="F146" s="9"/>
    </row>
    <row r="147" spans="1:6" ht="12.75">
      <c r="A147" s="8"/>
      <c r="B147" s="165" t="s">
        <v>129</v>
      </c>
      <c r="C147" s="10" t="s">
        <v>138</v>
      </c>
      <c r="D147" s="10">
        <f>10*15*2</f>
        <v>300</v>
      </c>
      <c r="E147" s="9" t="s">
        <v>217</v>
      </c>
      <c r="F147" s="9"/>
    </row>
    <row r="148" spans="2:6" ht="12.75">
      <c r="B148" s="165" t="s">
        <v>302</v>
      </c>
      <c r="C148" s="10" t="s">
        <v>119</v>
      </c>
      <c r="D148" s="10">
        <f>3*15*2</f>
        <v>90</v>
      </c>
      <c r="E148" s="9" t="s">
        <v>217</v>
      </c>
      <c r="F148" s="9"/>
    </row>
    <row r="149" spans="1:6" ht="12.75">
      <c r="A149" s="44"/>
      <c r="B149" s="165" t="s">
        <v>48</v>
      </c>
      <c r="C149" s="10" t="s">
        <v>128</v>
      </c>
      <c r="D149" s="10">
        <f>5*15*2</f>
        <v>150</v>
      </c>
      <c r="E149" s="9" t="s">
        <v>217</v>
      </c>
      <c r="F149" s="9"/>
    </row>
    <row r="150" spans="2:5" ht="12.75">
      <c r="B150" s="165" t="s">
        <v>60</v>
      </c>
      <c r="C150" s="10" t="s">
        <v>138</v>
      </c>
      <c r="D150" s="10">
        <f>10*15*2</f>
        <v>300</v>
      </c>
      <c r="E150" s="9" t="s">
        <v>217</v>
      </c>
    </row>
    <row r="151" spans="2:5" ht="12.75">
      <c r="B151" s="166"/>
      <c r="C151" s="10"/>
      <c r="D151" s="10">
        <f>SUM(D145:D150)</f>
        <v>890</v>
      </c>
      <c r="E151" s="9"/>
    </row>
  </sheetData>
  <sheetProtection/>
  <printOptions horizontalCentered="1"/>
  <pageMargins left="0.35" right="0.25" top="0.38" bottom="0.31" header="0.39" footer="0.2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9"/>
  <sheetViews>
    <sheetView tabSelected="1" zoomScale="80" zoomScaleNormal="80" zoomScalePageLayoutView="0" workbookViewId="0" topLeftCell="A1">
      <selection activeCell="H49" sqref="H49"/>
    </sheetView>
  </sheetViews>
  <sheetFormatPr defaultColWidth="9.140625" defaultRowHeight="12.75"/>
  <cols>
    <col min="1" max="1" width="9.8515625" style="65" customWidth="1"/>
    <col min="2" max="2" width="9.421875" style="89" customWidth="1"/>
    <col min="3" max="3" width="12.28125" style="89" customWidth="1"/>
    <col min="4" max="4" width="12.421875" style="89" bestFit="1" customWidth="1"/>
    <col min="5" max="5" width="8.57421875" style="89" bestFit="1" customWidth="1"/>
    <col min="6" max="7" width="11.8515625" style="89" bestFit="1" customWidth="1"/>
    <col min="8" max="8" width="16.421875" style="89" customWidth="1"/>
    <col min="9" max="9" width="10.140625" style="89" bestFit="1" customWidth="1"/>
    <col min="10" max="10" width="8.57421875" style="89" bestFit="1" customWidth="1"/>
    <col min="11" max="11" width="9.421875" style="89" bestFit="1" customWidth="1"/>
    <col min="12" max="12" width="13.7109375" style="65" bestFit="1" customWidth="1"/>
    <col min="13" max="13" width="10.00390625" style="65" customWidth="1"/>
    <col min="14" max="14" width="8.140625" style="65" customWidth="1"/>
    <col min="15" max="23" width="9.140625" style="65" customWidth="1"/>
    <col min="24" max="24" width="23.28125" style="65" bestFit="1" customWidth="1"/>
    <col min="25" max="16384" width="9.140625" style="65" customWidth="1"/>
  </cols>
  <sheetData>
    <row r="1" ht="20.25">
      <c r="A1" s="88" t="s">
        <v>541</v>
      </c>
    </row>
    <row r="3" ht="18.75" thickBot="1">
      <c r="A3" s="90" t="s">
        <v>221</v>
      </c>
    </row>
    <row r="4" spans="1:11" ht="16.5" hidden="1">
      <c r="A4" s="91"/>
      <c r="B4" s="433" t="s">
        <v>222</v>
      </c>
      <c r="C4" s="434"/>
      <c r="D4" s="434"/>
      <c r="E4" s="434"/>
      <c r="F4" s="434"/>
      <c r="G4" s="434"/>
      <c r="H4" s="434"/>
      <c r="I4" s="434"/>
      <c r="J4" s="434"/>
      <c r="K4" s="435"/>
    </row>
    <row r="5" spans="1:11" ht="16.5" hidden="1" thickBot="1">
      <c r="A5" s="92" t="s">
        <v>223</v>
      </c>
      <c r="B5" s="93" t="s">
        <v>4</v>
      </c>
      <c r="C5" s="93" t="s">
        <v>63</v>
      </c>
      <c r="D5" s="93" t="s">
        <v>5</v>
      </c>
      <c r="E5" s="93" t="s">
        <v>8</v>
      </c>
      <c r="F5" s="93" t="s">
        <v>1</v>
      </c>
      <c r="G5" s="93" t="s">
        <v>2</v>
      </c>
      <c r="H5" s="93" t="s">
        <v>82</v>
      </c>
      <c r="I5" s="93" t="s">
        <v>83</v>
      </c>
      <c r="J5" s="93" t="s">
        <v>6</v>
      </c>
      <c r="K5" s="93" t="s">
        <v>7</v>
      </c>
    </row>
    <row r="6" spans="1:11" ht="15" hidden="1">
      <c r="A6" s="94" t="s">
        <v>224</v>
      </c>
      <c r="B6" s="95">
        <f>24+19.2</f>
        <v>43.2</v>
      </c>
      <c r="C6" s="95">
        <v>40</v>
      </c>
      <c r="D6" s="95"/>
      <c r="E6" s="95">
        <v>65</v>
      </c>
      <c r="F6" s="95">
        <v>50</v>
      </c>
      <c r="G6" s="95">
        <v>100</v>
      </c>
      <c r="H6" s="95">
        <v>30</v>
      </c>
      <c r="I6" s="95">
        <v>180</v>
      </c>
      <c r="J6" s="95">
        <v>90</v>
      </c>
      <c r="K6" s="95">
        <v>90</v>
      </c>
    </row>
    <row r="7" spans="1:11" ht="15" hidden="1">
      <c r="A7" s="94" t="s">
        <v>225</v>
      </c>
      <c r="B7" s="95"/>
      <c r="C7" s="95">
        <v>300</v>
      </c>
      <c r="D7" s="95">
        <v>300</v>
      </c>
      <c r="E7" s="95">
        <v>299</v>
      </c>
      <c r="F7" s="96" t="s">
        <v>226</v>
      </c>
      <c r="G7" s="96" t="s">
        <v>226</v>
      </c>
      <c r="H7" s="96" t="s">
        <v>226</v>
      </c>
      <c r="I7" s="95">
        <v>120</v>
      </c>
      <c r="J7" s="95">
        <v>90</v>
      </c>
      <c r="K7" s="95">
        <v>358.5</v>
      </c>
    </row>
    <row r="8" spans="1:11" ht="15" hidden="1">
      <c r="A8" s="94" t="s">
        <v>227</v>
      </c>
      <c r="B8" s="95">
        <f>25.5+35.1</f>
        <v>60.6</v>
      </c>
      <c r="C8" s="95"/>
      <c r="D8" s="95"/>
      <c r="E8" s="95"/>
      <c r="F8" s="95"/>
      <c r="G8" s="95">
        <v>60</v>
      </c>
      <c r="H8" s="95"/>
      <c r="I8" s="95"/>
      <c r="J8" s="95"/>
      <c r="K8" s="95"/>
    </row>
    <row r="9" spans="1:11" ht="15" hidden="1">
      <c r="A9" s="94" t="s">
        <v>228</v>
      </c>
      <c r="B9" s="95"/>
      <c r="C9" s="95"/>
      <c r="D9" s="95"/>
      <c r="E9" s="95"/>
      <c r="F9" s="95">
        <v>90</v>
      </c>
      <c r="G9" s="95"/>
      <c r="H9" s="95"/>
      <c r="I9" s="95"/>
      <c r="J9" s="95">
        <v>150</v>
      </c>
      <c r="K9" s="95"/>
    </row>
    <row r="10" spans="1:11" ht="15" hidden="1">
      <c r="A10" s="94" t="s">
        <v>229</v>
      </c>
      <c r="B10" s="95">
        <v>180</v>
      </c>
      <c r="C10" s="95"/>
      <c r="D10" s="95"/>
      <c r="E10" s="95">
        <v>10</v>
      </c>
      <c r="F10" s="95"/>
      <c r="G10" s="95">
        <v>46</v>
      </c>
      <c r="H10" s="95">
        <v>30</v>
      </c>
      <c r="I10" s="95"/>
      <c r="J10" s="95"/>
      <c r="K10" s="95">
        <v>76.5</v>
      </c>
    </row>
    <row r="11" spans="1:11" ht="15" hidden="1">
      <c r="A11" s="94" t="s">
        <v>230</v>
      </c>
      <c r="B11" s="95"/>
      <c r="C11" s="95">
        <v>120</v>
      </c>
      <c r="D11" s="95"/>
      <c r="E11" s="95">
        <v>286</v>
      </c>
      <c r="F11" s="95"/>
      <c r="G11" s="95">
        <v>40</v>
      </c>
      <c r="H11" s="95">
        <v>30</v>
      </c>
      <c r="I11" s="95"/>
      <c r="J11" s="95">
        <v>150</v>
      </c>
      <c r="K11" s="95">
        <v>150</v>
      </c>
    </row>
    <row r="12" spans="1:11" ht="15" hidden="1">
      <c r="A12" s="94" t="s">
        <v>220</v>
      </c>
      <c r="B12" s="95"/>
      <c r="C12" s="95"/>
      <c r="D12" s="95"/>
      <c r="E12" s="95"/>
      <c r="F12" s="95"/>
      <c r="G12" s="95">
        <v>37.5</v>
      </c>
      <c r="H12" s="95"/>
      <c r="I12" s="95"/>
      <c r="J12" s="95">
        <v>45</v>
      </c>
      <c r="K12" s="95"/>
    </row>
    <row r="13" spans="1:11" ht="15" hidden="1">
      <c r="A13" s="94" t="s">
        <v>231</v>
      </c>
      <c r="B13" s="95">
        <f>5.4+20.7+56.7+63.3+8.1+13.5+10.2</f>
        <v>177.9</v>
      </c>
      <c r="C13" s="95">
        <v>30</v>
      </c>
      <c r="D13" s="95">
        <v>397.5</v>
      </c>
      <c r="E13" s="95">
        <f>10+52+13</f>
        <v>75</v>
      </c>
      <c r="F13" s="95">
        <f>20+10+10</f>
        <v>40</v>
      </c>
      <c r="G13" s="95">
        <v>37.5</v>
      </c>
      <c r="H13" s="95">
        <v>30</v>
      </c>
      <c r="I13" s="95">
        <v>30</v>
      </c>
      <c r="J13" s="95">
        <v>10</v>
      </c>
      <c r="K13" s="95"/>
    </row>
    <row r="14" spans="1:11" ht="15" hidden="1">
      <c r="A14" s="94" t="s">
        <v>232</v>
      </c>
      <c r="B14" s="95">
        <f>74.1</f>
        <v>74.1</v>
      </c>
      <c r="C14" s="95">
        <v>300</v>
      </c>
      <c r="D14" s="95"/>
      <c r="E14" s="95"/>
      <c r="F14" s="95"/>
      <c r="G14" s="95"/>
      <c r="H14" s="95"/>
      <c r="I14" s="95">
        <v>60</v>
      </c>
      <c r="J14" s="95">
        <v>30</v>
      </c>
      <c r="K14" s="95"/>
    </row>
    <row r="15" spans="1:11" ht="15.75" hidden="1" thickBot="1">
      <c r="A15" s="94" t="s">
        <v>233</v>
      </c>
      <c r="B15" s="95">
        <f>60+120+242.4</f>
        <v>422.4</v>
      </c>
      <c r="C15" s="95">
        <v>270</v>
      </c>
      <c r="D15" s="95">
        <v>120</v>
      </c>
      <c r="E15" s="95"/>
      <c r="F15" s="95">
        <v>100</v>
      </c>
      <c r="G15" s="95">
        <v>150</v>
      </c>
      <c r="H15" s="95">
        <v>180</v>
      </c>
      <c r="I15" s="95">
        <v>90</v>
      </c>
      <c r="J15" s="95">
        <v>120</v>
      </c>
      <c r="K15" s="95">
        <v>192</v>
      </c>
    </row>
    <row r="16" spans="1:11" ht="15" hidden="1">
      <c r="A16" s="97" t="s">
        <v>118</v>
      </c>
      <c r="B16" s="98">
        <f aca="true" t="shared" si="0" ref="B16:K16">SUM(B6:B15)</f>
        <v>958.2</v>
      </c>
      <c r="C16" s="98">
        <f t="shared" si="0"/>
        <v>1060</v>
      </c>
      <c r="D16" s="98">
        <f t="shared" si="0"/>
        <v>817.5</v>
      </c>
      <c r="E16" s="98">
        <f t="shared" si="0"/>
        <v>735</v>
      </c>
      <c r="F16" s="98">
        <f t="shared" si="0"/>
        <v>280</v>
      </c>
      <c r="G16" s="98">
        <f t="shared" si="0"/>
        <v>471</v>
      </c>
      <c r="H16" s="98">
        <f t="shared" si="0"/>
        <v>300</v>
      </c>
      <c r="I16" s="98">
        <f t="shared" si="0"/>
        <v>480</v>
      </c>
      <c r="J16" s="98">
        <f t="shared" si="0"/>
        <v>685</v>
      </c>
      <c r="K16" s="98">
        <f t="shared" si="0"/>
        <v>867</v>
      </c>
    </row>
    <row r="17" ht="15" hidden="1">
      <c r="B17" s="394"/>
    </row>
    <row r="18" spans="2:11" ht="15" hidden="1">
      <c r="B18" s="394"/>
      <c r="K18" s="99"/>
    </row>
    <row r="19" ht="15" hidden="1">
      <c r="B19" s="394"/>
    </row>
    <row r="20" ht="15" hidden="1">
      <c r="B20" s="394"/>
    </row>
    <row r="21" spans="1:14" ht="16.5">
      <c r="A21" s="100"/>
      <c r="B21" s="436" t="s">
        <v>223</v>
      </c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8"/>
    </row>
    <row r="22" spans="1:14" s="106" customFormat="1" ht="30.75" thickBot="1">
      <c r="A22" s="101" t="s">
        <v>234</v>
      </c>
      <c r="B22" s="102" t="s">
        <v>224</v>
      </c>
      <c r="C22" s="102" t="s">
        <v>225</v>
      </c>
      <c r="D22" s="102" t="s">
        <v>227</v>
      </c>
      <c r="E22" s="102" t="s">
        <v>291</v>
      </c>
      <c r="F22" s="102" t="s">
        <v>235</v>
      </c>
      <c r="G22" s="102" t="s">
        <v>229</v>
      </c>
      <c r="H22" s="102" t="s">
        <v>307</v>
      </c>
      <c r="I22" s="102" t="s">
        <v>220</v>
      </c>
      <c r="J22" s="203" t="s">
        <v>244</v>
      </c>
      <c r="K22" s="203" t="s">
        <v>68</v>
      </c>
      <c r="L22" s="103" t="s">
        <v>236</v>
      </c>
      <c r="M22" s="104" t="s">
        <v>91</v>
      </c>
      <c r="N22" s="105" t="s">
        <v>237</v>
      </c>
    </row>
    <row r="23" spans="1:15" s="70" customFormat="1" ht="15">
      <c r="A23" s="107" t="s">
        <v>63</v>
      </c>
      <c r="B23" s="108">
        <f>'Notes-4yr'!C3</f>
        <v>40</v>
      </c>
      <c r="C23" s="108">
        <f>'Notes-4yr'!C4</f>
        <v>510</v>
      </c>
      <c r="D23" s="108"/>
      <c r="E23" s="108"/>
      <c r="F23" s="108"/>
      <c r="G23" s="108"/>
      <c r="H23" s="108">
        <f>'Notes-4yr'!C9+'Notes-4yr'!C10</f>
        <v>210</v>
      </c>
      <c r="I23" s="108">
        <f>'Notes-4yr'!C11</f>
        <v>180</v>
      </c>
      <c r="J23" s="108">
        <f>'Notes-4yr'!C6+'Notes-4yr'!C8+'Notes-4yr'!C14</f>
        <v>210</v>
      </c>
      <c r="K23" s="108">
        <f>'Notes-4yr'!C5+'Notes-4yr'!C13</f>
        <v>510</v>
      </c>
      <c r="L23" s="109">
        <f>'Notes-4yr'!C12</f>
        <v>300</v>
      </c>
      <c r="M23" s="253">
        <f>SUM(B23:L23)</f>
        <v>1960</v>
      </c>
      <c r="N23" s="258">
        <f>M23/30</f>
        <v>65.33333333333333</v>
      </c>
      <c r="O23" s="147"/>
    </row>
    <row r="24" spans="1:16" s="70" customFormat="1" ht="15">
      <c r="A24" s="233" t="s">
        <v>1</v>
      </c>
      <c r="B24" s="234"/>
      <c r="C24" s="234" t="s">
        <v>388</v>
      </c>
      <c r="D24" s="234"/>
      <c r="E24" s="234"/>
      <c r="F24" s="234">
        <f>'Notes-4yr'!C28</f>
        <v>150</v>
      </c>
      <c r="G24" s="234">
        <f>'Notes-4yr'!C22</f>
        <v>90</v>
      </c>
      <c r="H24" s="234"/>
      <c r="I24" s="234"/>
      <c r="J24" s="234">
        <f>'Notes-4yr'!C24+'Notes-4yr'!C26+'Notes-4yr'!C27+'Notes-4yr'!C29</f>
        <v>398</v>
      </c>
      <c r="K24" s="234">
        <f>'Notes-4yr'!C30</f>
        <v>60</v>
      </c>
      <c r="L24" s="235">
        <f>'Notes-4yr'!C25</f>
        <v>280</v>
      </c>
      <c r="M24" s="254">
        <f>SUM(B24:L24)</f>
        <v>978</v>
      </c>
      <c r="N24" s="259">
        <f>M24/30</f>
        <v>32.6</v>
      </c>
      <c r="O24" s="147"/>
      <c r="P24" s="113"/>
    </row>
    <row r="25" spans="1:16" s="70" customFormat="1" ht="15">
      <c r="A25" s="230" t="s">
        <v>2</v>
      </c>
      <c r="B25" s="231">
        <f>'Notes-4yr'!C38</f>
        <v>120</v>
      </c>
      <c r="C25" s="231">
        <f>'Notes-4yr'!C43</f>
        <v>487.5</v>
      </c>
      <c r="D25" s="231">
        <f>'Notes-4yr'!C42</f>
        <v>60</v>
      </c>
      <c r="E25" s="231"/>
      <c r="F25" s="231"/>
      <c r="G25" s="231">
        <f>'Notes-4yr'!C39</f>
        <v>96</v>
      </c>
      <c r="H25" s="231">
        <f>'Notes-4yr'!C47</f>
        <v>80</v>
      </c>
      <c r="I25" s="231">
        <f>'Notes-4yr'!C48</f>
        <v>75</v>
      </c>
      <c r="J25" s="231">
        <f>'Notes-4yr'!C40+'Notes-4yr'!C45+'Notes-4yr'!C46+'Notes-4yr'!C50</f>
        <v>62.5</v>
      </c>
      <c r="K25" s="231">
        <f>'Notes-4yr'!C41</f>
        <v>250</v>
      </c>
      <c r="L25" s="232">
        <f>'Notes-4yr'!C49</f>
        <v>360</v>
      </c>
      <c r="M25" s="255">
        <f>SUM(B25:L25)</f>
        <v>1591</v>
      </c>
      <c r="N25" s="260">
        <f>M25/30</f>
        <v>53.03333333333333</v>
      </c>
      <c r="O25" s="147"/>
      <c r="P25" s="113"/>
    </row>
    <row r="26" spans="1:16" s="70" customFormat="1" ht="15">
      <c r="A26" s="110" t="s">
        <v>82</v>
      </c>
      <c r="B26" s="111">
        <f>'Notes-4yr'!C59</f>
        <v>120</v>
      </c>
      <c r="C26" s="111" t="s">
        <v>388</v>
      </c>
      <c r="D26" s="111"/>
      <c r="E26" s="111"/>
      <c r="F26" s="111"/>
      <c r="G26" s="111">
        <f>'Notes-4yr'!C57</f>
        <v>60</v>
      </c>
      <c r="H26" s="111">
        <f>'Notes-4yr'!C66</f>
        <v>540</v>
      </c>
      <c r="I26" s="111">
        <f>'Notes-4yr'!C65</f>
        <v>75</v>
      </c>
      <c r="J26" s="111">
        <f>'Notes-4yr'!C60+'Notes-4yr'!C62+'Notes-4yr'!C63+'Notes-4yr'!C67</f>
        <v>66</v>
      </c>
      <c r="K26" s="111">
        <f>'Notes-4yr'!C68+'Notes-4yr'!C69</f>
        <v>180</v>
      </c>
      <c r="L26" s="112">
        <f>'Notes-4yr'!C64</f>
        <v>315</v>
      </c>
      <c r="M26" s="256">
        <f aca="true" t="shared" si="1" ref="M26:M32">SUM(B26:L26)</f>
        <v>1356</v>
      </c>
      <c r="N26" s="261">
        <f>M26/30</f>
        <v>45.2</v>
      </c>
      <c r="O26" s="147"/>
      <c r="P26" s="113"/>
    </row>
    <row r="27" spans="1:15" s="138" customFormat="1" ht="15">
      <c r="A27" s="230" t="s">
        <v>4</v>
      </c>
      <c r="B27" s="231">
        <f>'Notes-4yr'!D76</f>
        <v>79.2</v>
      </c>
      <c r="C27" s="297"/>
      <c r="D27" s="231"/>
      <c r="E27" s="297"/>
      <c r="F27" s="297"/>
      <c r="G27" s="231">
        <f>'Notes-4yr'!D82</f>
        <v>217.5</v>
      </c>
      <c r="H27" s="231">
        <f>'Notes-4yr'!D79</f>
        <v>300</v>
      </c>
      <c r="I27" s="231">
        <f>'Notes-4yr'!D77</f>
        <v>75</v>
      </c>
      <c r="J27" s="231">
        <f>'Notes-4yr'!D78</f>
        <v>20.7</v>
      </c>
      <c r="K27" s="231">
        <f>'Notes-4yr'!D80</f>
        <v>79.5</v>
      </c>
      <c r="L27" s="232">
        <f>'Notes-4yr'!D81+'Notes-4yr'!D83</f>
        <v>613.2</v>
      </c>
      <c r="M27" s="255">
        <f>SUM(B27:L27)</f>
        <v>1385.1000000000001</v>
      </c>
      <c r="N27" s="260">
        <f aca="true" t="shared" si="2" ref="N27:N32">M27/30</f>
        <v>46.17</v>
      </c>
      <c r="O27" s="147"/>
    </row>
    <row r="28" spans="1:16" s="70" customFormat="1" ht="15">
      <c r="A28" s="110" t="s">
        <v>83</v>
      </c>
      <c r="B28" s="111">
        <f>'Notes-4yr'!C102</f>
        <v>390</v>
      </c>
      <c r="C28" s="111">
        <f>'Notes-4yr'!C103</f>
        <v>480</v>
      </c>
      <c r="D28" s="111"/>
      <c r="E28" s="111"/>
      <c r="F28" s="111"/>
      <c r="G28" s="111">
        <f>'Notes-4yr'!C106</f>
        <v>68</v>
      </c>
      <c r="H28" s="111">
        <f>'Notes-4yr'!C111</f>
        <v>90</v>
      </c>
      <c r="I28" s="111">
        <f>'Notes-4yr'!C110</f>
        <v>90</v>
      </c>
      <c r="J28" s="111">
        <f>'Notes-4yr'!C108</f>
        <v>50</v>
      </c>
      <c r="K28" s="111">
        <f>'Notes-4yr'!C105+'Notes-4yr'!C107+'Notes-4yr'!C112</f>
        <v>234</v>
      </c>
      <c r="L28" s="112">
        <f>'Notes-4yr'!C109</f>
        <v>390</v>
      </c>
      <c r="M28" s="256">
        <f t="shared" si="1"/>
        <v>1792</v>
      </c>
      <c r="N28" s="261">
        <f t="shared" si="2"/>
        <v>59.733333333333334</v>
      </c>
      <c r="O28" s="147"/>
      <c r="P28" s="375"/>
    </row>
    <row r="29" spans="1:16" s="70" customFormat="1" ht="14.25">
      <c r="A29" s="107" t="s">
        <v>5</v>
      </c>
      <c r="B29" s="108"/>
      <c r="C29" s="108">
        <f>'Notes-4yr'!D118</f>
        <v>517.5</v>
      </c>
      <c r="D29" s="108"/>
      <c r="E29" s="108"/>
      <c r="F29" s="108">
        <f>'Notes-4yr'!D124</f>
        <v>540</v>
      </c>
      <c r="G29" s="108">
        <f>'Notes-4yr'!D129</f>
        <v>66</v>
      </c>
      <c r="H29" s="108">
        <f>'Notes-4yr'!D125+'Notes-4yr'!D131</f>
        <v>322.5</v>
      </c>
      <c r="I29" s="108"/>
      <c r="J29" s="108">
        <v>50</v>
      </c>
      <c r="K29" s="108"/>
      <c r="L29" s="109">
        <v>282.9</v>
      </c>
      <c r="M29" s="253">
        <f t="shared" si="1"/>
        <v>1778.9</v>
      </c>
      <c r="N29" s="258">
        <f t="shared" si="2"/>
        <v>59.29666666666667</v>
      </c>
      <c r="P29" s="375"/>
    </row>
    <row r="30" spans="1:14" s="70" customFormat="1" ht="14.25">
      <c r="A30" s="110" t="s">
        <v>6</v>
      </c>
      <c r="B30" s="111">
        <f>'Notes-4yr'!C141</f>
        <v>150</v>
      </c>
      <c r="C30" s="111">
        <f>'Notes-4yr'!C138</f>
        <v>390</v>
      </c>
      <c r="D30" s="111"/>
      <c r="E30" s="111">
        <f>'Notes-4yr'!C143</f>
        <v>270</v>
      </c>
      <c r="F30" s="111"/>
      <c r="G30" s="111">
        <f>'Notes-4yr'!C147</f>
        <v>60</v>
      </c>
      <c r="H30" s="111">
        <f>'Notes-4yr'!C139</f>
        <v>390</v>
      </c>
      <c r="I30" s="111">
        <f>'Notes-4yr'!C144</f>
        <v>120</v>
      </c>
      <c r="J30" s="111">
        <f>'Notes-4yr'!C142</f>
        <v>10</v>
      </c>
      <c r="K30" s="111">
        <f>'Notes-4yr'!C145</f>
        <v>60</v>
      </c>
      <c r="L30" s="112">
        <f>'Notes-4yr'!C146</f>
        <v>402</v>
      </c>
      <c r="M30" s="256">
        <f t="shared" si="1"/>
        <v>1852</v>
      </c>
      <c r="N30" s="261">
        <f t="shared" si="2"/>
        <v>61.733333333333334</v>
      </c>
    </row>
    <row r="31" spans="1:15" s="70" customFormat="1" ht="14.25">
      <c r="A31" s="107" t="s">
        <v>7</v>
      </c>
      <c r="B31" s="108">
        <f>'Notes-4yr'!C159</f>
        <v>96</v>
      </c>
      <c r="C31" s="108">
        <f>'Notes-4yr'!C156</f>
        <v>510</v>
      </c>
      <c r="D31" s="108"/>
      <c r="E31" s="108"/>
      <c r="F31" s="108"/>
      <c r="G31" s="108">
        <f>'Notes-4yr'!C160</f>
        <v>100</v>
      </c>
      <c r="H31" s="108">
        <f>'Notes-4yr'!C162</f>
        <v>465</v>
      </c>
      <c r="I31" s="108"/>
      <c r="J31" s="108">
        <f>'Notes-4yr'!C157</f>
        <v>45</v>
      </c>
      <c r="K31" s="108"/>
      <c r="L31" s="109">
        <f>'Notes-4yr'!C161</f>
        <v>300</v>
      </c>
      <c r="M31" s="253">
        <f t="shared" si="1"/>
        <v>1516</v>
      </c>
      <c r="N31" s="258">
        <f t="shared" si="2"/>
        <v>50.53333333333333</v>
      </c>
      <c r="O31" s="114"/>
    </row>
    <row r="32" spans="1:15" s="138" customFormat="1" ht="15" thickBot="1">
      <c r="A32" s="151" t="s">
        <v>8</v>
      </c>
      <c r="B32" s="150">
        <f>'Notes-4yr'!C175</f>
        <v>100.7</v>
      </c>
      <c r="C32" s="150">
        <f>'Notes-4yr'!C169</f>
        <v>510</v>
      </c>
      <c r="D32" s="139"/>
      <c r="E32" s="139"/>
      <c r="F32" s="139"/>
      <c r="G32" s="150">
        <f>'Notes-4yr'!C170</f>
        <v>130</v>
      </c>
      <c r="H32" s="150">
        <f>'Notes-4yr'!C179</f>
        <v>375</v>
      </c>
      <c r="I32" s="150">
        <f>'Notes-4yr'!C180</f>
        <v>90</v>
      </c>
      <c r="J32" s="150">
        <f>'Notes-4yr'!C173+'Notes-4yr'!C177</f>
        <v>114</v>
      </c>
      <c r="K32" s="150">
        <f>'Notes-4yr'!C171+'Notes-4yr'!C172+'Notes-4yr'!C181+'Notes-4yr'!C176</f>
        <v>426.59999999999997</v>
      </c>
      <c r="L32" s="167">
        <f>'Notes-4yr'!C178</f>
        <v>225</v>
      </c>
      <c r="M32" s="257">
        <f t="shared" si="1"/>
        <v>1971.3</v>
      </c>
      <c r="N32" s="262">
        <f t="shared" si="2"/>
        <v>65.71</v>
      </c>
      <c r="O32" s="140"/>
    </row>
    <row r="33" spans="1:11" ht="13.5" customHeight="1">
      <c r="A33" s="251" t="str">
        <f ca="1">CELL("filename")</f>
        <v>S:\IF_Admin\SERIES 18 - Tuition and Fees\SUMMARIES\14-15\[2014-15 Tuition and Fees_summary.xls]4 YR</v>
      </c>
      <c r="B33" s="394"/>
      <c r="K33" s="65"/>
    </row>
    <row r="34" spans="2:21" ht="15">
      <c r="B34" s="399"/>
      <c r="K34" s="65"/>
      <c r="U34" s="264"/>
    </row>
    <row r="35" spans="1:11" ht="15">
      <c r="A35" s="115" t="s">
        <v>238</v>
      </c>
      <c r="B35" s="394"/>
      <c r="K35" s="65"/>
    </row>
    <row r="36" spans="1:11" ht="15">
      <c r="A36" s="115" t="s">
        <v>471</v>
      </c>
      <c r="B36" s="394"/>
      <c r="K36" s="65"/>
    </row>
    <row r="37" ht="15">
      <c r="B37" s="399"/>
    </row>
    <row r="38" spans="1:2" ht="15.75">
      <c r="A38" s="116" t="s">
        <v>239</v>
      </c>
      <c r="B38" s="399"/>
    </row>
    <row r="39" spans="1:2" ht="15">
      <c r="A39" s="70" t="s">
        <v>240</v>
      </c>
      <c r="B39" s="394"/>
    </row>
    <row r="40" spans="1:2" ht="15">
      <c r="A40" s="70" t="s">
        <v>241</v>
      </c>
      <c r="B40" s="394"/>
    </row>
    <row r="41" spans="1:2" ht="15">
      <c r="A41" s="70" t="s">
        <v>242</v>
      </c>
      <c r="B41" s="394"/>
    </row>
    <row r="42" spans="1:2" ht="15">
      <c r="A42" s="70" t="s">
        <v>292</v>
      </c>
      <c r="B42" s="394"/>
    </row>
    <row r="43" spans="1:2" ht="15">
      <c r="A43" s="70" t="s">
        <v>293</v>
      </c>
      <c r="B43" s="394"/>
    </row>
    <row r="44" ht="15">
      <c r="B44" s="399"/>
    </row>
    <row r="45" ht="15">
      <c r="B45" s="399"/>
    </row>
    <row r="46" ht="15">
      <c r="B46" s="399"/>
    </row>
    <row r="47" ht="15">
      <c r="B47" s="399"/>
    </row>
    <row r="48" ht="15">
      <c r="B48" s="399"/>
    </row>
    <row r="49" ht="15">
      <c r="B49" s="399"/>
    </row>
    <row r="50" ht="15">
      <c r="B50" s="399"/>
    </row>
    <row r="51" ht="15">
      <c r="B51" s="399"/>
    </row>
    <row r="52" ht="15">
      <c r="B52" s="399"/>
    </row>
    <row r="53" ht="15">
      <c r="B53" s="399"/>
    </row>
    <row r="54" ht="15">
      <c r="B54" s="399"/>
    </row>
    <row r="55" spans="1:9" ht="16.5" thickBot="1">
      <c r="A55" s="81"/>
      <c r="B55" s="82"/>
      <c r="C55" s="82"/>
      <c r="D55" s="83"/>
      <c r="E55" s="83"/>
      <c r="F55" s="83"/>
      <c r="G55" s="83"/>
      <c r="H55" s="83"/>
      <c r="I55" s="83"/>
    </row>
    <row r="56" spans="1:9" ht="15">
      <c r="A56" s="76"/>
      <c r="B56" s="399"/>
      <c r="C56" s="74"/>
      <c r="D56" s="75"/>
      <c r="E56" s="75"/>
      <c r="F56" s="75"/>
      <c r="G56" s="131"/>
      <c r="H56" s="131"/>
      <c r="I56" s="76"/>
    </row>
    <row r="57" spans="1:9" ht="15">
      <c r="A57" s="76"/>
      <c r="B57" s="399"/>
      <c r="C57" s="74"/>
      <c r="D57" s="75"/>
      <c r="E57" s="75"/>
      <c r="F57" s="75"/>
      <c r="G57" s="131"/>
      <c r="H57" s="131"/>
      <c r="I57" s="76"/>
    </row>
    <row r="58" spans="1:9" ht="15">
      <c r="A58" s="76"/>
      <c r="B58" s="399"/>
      <c r="C58" s="74"/>
      <c r="D58" s="75"/>
      <c r="E58" s="75"/>
      <c r="F58" s="75"/>
      <c r="G58" s="131"/>
      <c r="H58" s="131"/>
      <c r="I58" s="76"/>
    </row>
    <row r="59" spans="1:12" ht="15">
      <c r="A59" s="76"/>
      <c r="B59" s="399"/>
      <c r="C59" s="74"/>
      <c r="D59" s="75"/>
      <c r="E59" s="75"/>
      <c r="F59" s="75"/>
      <c r="G59" s="131"/>
      <c r="H59" s="131"/>
      <c r="I59" s="76"/>
      <c r="K59" s="147"/>
      <c r="L59" s="148"/>
    </row>
    <row r="60" spans="1:12" ht="15">
      <c r="A60" s="76"/>
      <c r="B60" s="399"/>
      <c r="C60" s="74"/>
      <c r="D60" s="75"/>
      <c r="E60" s="75"/>
      <c r="F60" s="75"/>
      <c r="G60" s="131"/>
      <c r="H60" s="131"/>
      <c r="I60" s="76"/>
      <c r="K60" s="147"/>
      <c r="L60" s="146"/>
    </row>
    <row r="61" spans="1:12" ht="15">
      <c r="A61" s="76"/>
      <c r="B61" s="399"/>
      <c r="C61" s="74"/>
      <c r="D61" s="75"/>
      <c r="E61" s="75"/>
      <c r="F61" s="75"/>
      <c r="G61" s="131"/>
      <c r="H61" s="131"/>
      <c r="I61" s="76"/>
      <c r="K61" s="147"/>
      <c r="L61" s="146"/>
    </row>
    <row r="62" spans="1:12" ht="15">
      <c r="A62" s="76"/>
      <c r="B62" s="399"/>
      <c r="C62" s="74"/>
      <c r="D62" s="75"/>
      <c r="E62" s="75"/>
      <c r="F62" s="75"/>
      <c r="G62" s="131"/>
      <c r="H62" s="131"/>
      <c r="I62" s="76"/>
      <c r="K62" s="147"/>
      <c r="L62" s="149"/>
    </row>
    <row r="63" spans="1:12" ht="15.75" thickBot="1">
      <c r="A63" s="76"/>
      <c r="B63" s="399"/>
      <c r="C63" s="74"/>
      <c r="D63" s="142"/>
      <c r="E63" s="142"/>
      <c r="F63" s="142"/>
      <c r="G63" s="143"/>
      <c r="H63" s="143"/>
      <c r="I63" s="76"/>
      <c r="K63" s="147"/>
      <c r="L63" s="146"/>
    </row>
    <row r="64" spans="1:12" ht="15.75" thickBot="1">
      <c r="A64" s="145"/>
      <c r="B64" s="399"/>
      <c r="C64" s="74"/>
      <c r="D64" s="144"/>
      <c r="E64" s="144"/>
      <c r="F64" s="144"/>
      <c r="G64" s="144"/>
      <c r="H64" s="144"/>
      <c r="I64" s="75"/>
      <c r="K64" s="147"/>
      <c r="L64" s="146"/>
    </row>
    <row r="65" spans="1:12" ht="15">
      <c r="A65" s="76"/>
      <c r="B65" s="399"/>
      <c r="C65" s="74"/>
      <c r="D65" s="75"/>
      <c r="E65" s="75"/>
      <c r="F65" s="75"/>
      <c r="G65" s="131"/>
      <c r="H65" s="131"/>
      <c r="I65" s="76"/>
      <c r="L65" s="146"/>
    </row>
    <row r="66" spans="1:12" ht="15">
      <c r="A66" s="76"/>
      <c r="B66" s="399"/>
      <c r="C66" s="74"/>
      <c r="D66" s="75"/>
      <c r="E66" s="75"/>
      <c r="F66" s="75"/>
      <c r="G66" s="131"/>
      <c r="H66" s="131"/>
      <c r="I66" s="76"/>
      <c r="L66" s="146"/>
    </row>
    <row r="67" spans="1:9" ht="15">
      <c r="A67" s="76"/>
      <c r="C67" s="74"/>
      <c r="D67" s="75"/>
      <c r="E67" s="75"/>
      <c r="F67" s="75"/>
      <c r="G67" s="131"/>
      <c r="H67" s="131"/>
      <c r="I67" s="76"/>
    </row>
    <row r="68" spans="1:9" ht="15">
      <c r="A68" s="76"/>
      <c r="C68" s="74"/>
      <c r="D68" s="75"/>
      <c r="E68" s="75"/>
      <c r="F68" s="75"/>
      <c r="G68" s="131"/>
      <c r="H68" s="131"/>
      <c r="I68" s="76"/>
    </row>
    <row r="69" spans="1:9" ht="15">
      <c r="A69" s="76"/>
      <c r="C69" s="74"/>
      <c r="D69" s="75"/>
      <c r="E69" s="75"/>
      <c r="F69" s="75"/>
      <c r="G69" s="131"/>
      <c r="H69" s="131"/>
      <c r="I69" s="76"/>
    </row>
    <row r="70" spans="1:9" ht="15">
      <c r="A70" s="76"/>
      <c r="C70" s="74"/>
      <c r="D70" s="75"/>
      <c r="E70" s="75"/>
      <c r="F70" s="75"/>
      <c r="G70" s="131"/>
      <c r="H70" s="131"/>
      <c r="I70" s="76"/>
    </row>
    <row r="71" spans="1:9" ht="15">
      <c r="A71" s="76"/>
      <c r="C71" s="74"/>
      <c r="D71" s="75"/>
      <c r="E71" s="75"/>
      <c r="F71" s="75"/>
      <c r="G71" s="131"/>
      <c r="H71" s="131"/>
      <c r="I71" s="76"/>
    </row>
    <row r="72" spans="1:9" ht="15">
      <c r="A72" s="76"/>
      <c r="C72" s="74"/>
      <c r="D72" s="75"/>
      <c r="E72" s="75"/>
      <c r="F72" s="75"/>
      <c r="G72" s="74"/>
      <c r="H72" s="74"/>
      <c r="I72" s="76"/>
    </row>
    <row r="73" spans="1:9" ht="15">
      <c r="A73" s="76"/>
      <c r="C73" s="74"/>
      <c r="D73" s="75"/>
      <c r="E73" s="75"/>
      <c r="F73" s="75"/>
      <c r="G73" s="74"/>
      <c r="H73" s="74"/>
      <c r="I73" s="76"/>
    </row>
    <row r="74" spans="1:9" ht="15">
      <c r="A74" s="76"/>
      <c r="C74" s="74"/>
      <c r="D74" s="75"/>
      <c r="E74" s="75"/>
      <c r="F74" s="75"/>
      <c r="G74" s="75"/>
      <c r="H74" s="75"/>
      <c r="I74" s="76"/>
    </row>
    <row r="75" spans="1:9" ht="15">
      <c r="A75" s="76"/>
      <c r="C75" s="74"/>
      <c r="D75" s="75"/>
      <c r="E75" s="75"/>
      <c r="F75" s="75"/>
      <c r="G75" s="131"/>
      <c r="H75" s="131"/>
      <c r="I75" s="76"/>
    </row>
    <row r="76" spans="1:9" ht="15">
      <c r="A76" s="78"/>
      <c r="B76" s="141"/>
      <c r="C76" s="79"/>
      <c r="D76" s="80"/>
      <c r="E76" s="80"/>
      <c r="F76" s="80"/>
      <c r="G76" s="79"/>
      <c r="H76" s="132"/>
      <c r="I76" s="76"/>
    </row>
    <row r="77" spans="1:9" ht="15">
      <c r="A77" s="145"/>
      <c r="C77" s="76"/>
      <c r="D77" s="133"/>
      <c r="E77" s="133"/>
      <c r="F77" s="133"/>
      <c r="G77" s="133"/>
      <c r="H77" s="133"/>
      <c r="I77" s="76"/>
    </row>
    <row r="78" spans="1:9" ht="15">
      <c r="A78" s="145"/>
      <c r="C78" s="76"/>
      <c r="D78" s="133"/>
      <c r="E78" s="133"/>
      <c r="F78" s="133"/>
      <c r="G78" s="133"/>
      <c r="H78" s="133"/>
      <c r="I78" s="76"/>
    </row>
    <row r="79" spans="1:9" ht="15">
      <c r="A79" s="145"/>
      <c r="C79" s="76"/>
      <c r="D79" s="134"/>
      <c r="E79" s="134"/>
      <c r="F79" s="134"/>
      <c r="G79" s="134"/>
      <c r="H79" s="134"/>
      <c r="I79" s="76"/>
    </row>
    <row r="80" spans="1:8" ht="15">
      <c r="A80" s="76"/>
      <c r="B80" s="76"/>
      <c r="C80" s="76"/>
      <c r="D80" s="76"/>
      <c r="E80" s="76"/>
      <c r="F80" s="130"/>
      <c r="G80" s="76"/>
      <c r="H80" s="76"/>
    </row>
    <row r="81" spans="1:8" ht="15">
      <c r="A81" s="76"/>
      <c r="B81" s="76"/>
      <c r="C81" s="76"/>
      <c r="D81" s="76"/>
      <c r="E81" s="76"/>
      <c r="F81" s="130"/>
      <c r="G81" s="76"/>
      <c r="H81" s="76"/>
    </row>
    <row r="82" spans="1:8" ht="15">
      <c r="A82" s="76"/>
      <c r="B82" s="76"/>
      <c r="C82" s="76"/>
      <c r="D82" s="76"/>
      <c r="E82" s="76"/>
      <c r="F82" s="130"/>
      <c r="G82" s="76"/>
      <c r="H82" s="76"/>
    </row>
    <row r="109" ht="16.5">
      <c r="A109" s="398"/>
    </row>
  </sheetData>
  <sheetProtection/>
  <mergeCells count="2">
    <mergeCell ref="B4:K4"/>
    <mergeCell ref="B21:N21"/>
  </mergeCells>
  <printOptions horizontalCentered="1"/>
  <pageMargins left="0.35" right="0.25" top="0.38" bottom="0.31" header="0.39" footer="0.27"/>
  <pageSetup fitToHeight="1" fitToWidth="1" horizontalDpi="600" verticalDpi="600" orientation="landscape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PageLayoutView="0" workbookViewId="0" topLeftCell="A22">
      <selection activeCell="H49" sqref="H49"/>
    </sheetView>
  </sheetViews>
  <sheetFormatPr defaultColWidth="9.140625" defaultRowHeight="12.75"/>
  <cols>
    <col min="1" max="1" width="44.28125" style="65" customWidth="1"/>
    <col min="2" max="2" width="33.28125" style="65" customWidth="1"/>
    <col min="3" max="16384" width="9.140625" style="65" customWidth="1"/>
  </cols>
  <sheetData>
    <row r="1" spans="1:2" ht="35.25" customHeight="1">
      <c r="A1" s="439" t="s">
        <v>542</v>
      </c>
      <c r="B1" s="439"/>
    </row>
    <row r="2" ht="15.75" thickBot="1"/>
    <row r="3" spans="1:2" s="66" customFormat="1" ht="12.75">
      <c r="A3" s="161" t="s">
        <v>159</v>
      </c>
      <c r="B3" s="162"/>
    </row>
    <row r="4" spans="1:2" s="66" customFormat="1" ht="12.75">
      <c r="A4" s="404" t="s">
        <v>160</v>
      </c>
      <c r="B4" s="405" t="s">
        <v>266</v>
      </c>
    </row>
    <row r="5" spans="1:2" s="66" customFormat="1" ht="12.75">
      <c r="A5" s="404" t="s">
        <v>162</v>
      </c>
      <c r="B5" s="406">
        <v>15</v>
      </c>
    </row>
    <row r="6" spans="1:2" s="66" customFormat="1" ht="12.75">
      <c r="A6" s="404" t="s">
        <v>163</v>
      </c>
      <c r="B6" s="406" t="s">
        <v>476</v>
      </c>
    </row>
    <row r="7" spans="1:2" s="66" customFormat="1" ht="12.75">
      <c r="A7" s="404" t="s">
        <v>393</v>
      </c>
      <c r="B7" s="405" t="s">
        <v>484</v>
      </c>
    </row>
    <row r="8" spans="1:2" s="66" customFormat="1" ht="12.75">
      <c r="A8" s="407" t="s">
        <v>164</v>
      </c>
      <c r="B8" s="408"/>
    </row>
    <row r="9" spans="1:2" s="66" customFormat="1" ht="12.75">
      <c r="A9" s="152" t="s">
        <v>160</v>
      </c>
      <c r="B9" s="153" t="s">
        <v>184</v>
      </c>
    </row>
    <row r="10" spans="1:2" s="66" customFormat="1" ht="12.75">
      <c r="A10" s="152" t="s">
        <v>165</v>
      </c>
      <c r="B10" s="153" t="s">
        <v>166</v>
      </c>
    </row>
    <row r="11" spans="1:2" s="66" customFormat="1" ht="12.75">
      <c r="A11" s="152" t="s">
        <v>163</v>
      </c>
      <c r="B11" s="153" t="s">
        <v>193</v>
      </c>
    </row>
    <row r="12" spans="1:2" s="66" customFormat="1" ht="12.75">
      <c r="A12" s="152" t="s">
        <v>397</v>
      </c>
      <c r="B12" s="153" t="s">
        <v>398</v>
      </c>
    </row>
    <row r="13" spans="1:7" s="66" customFormat="1" ht="12.75">
      <c r="A13" s="154" t="s">
        <v>167</v>
      </c>
      <c r="B13" s="409" t="s">
        <v>168</v>
      </c>
      <c r="F13" s="441"/>
      <c r="G13" s="441"/>
    </row>
    <row r="14" spans="1:2" s="66" customFormat="1" ht="12.75">
      <c r="A14" s="156" t="s">
        <v>169</v>
      </c>
      <c r="B14" s="157"/>
    </row>
    <row r="15" spans="1:9" s="66" customFormat="1" ht="12.75">
      <c r="A15" s="404" t="s">
        <v>160</v>
      </c>
      <c r="B15" s="405" t="s">
        <v>485</v>
      </c>
      <c r="I15" s="266"/>
    </row>
    <row r="16" spans="1:9" s="66" customFormat="1" ht="12.75">
      <c r="A16" s="404" t="s">
        <v>162</v>
      </c>
      <c r="B16" s="406" t="s">
        <v>284</v>
      </c>
      <c r="I16" s="265"/>
    </row>
    <row r="17" spans="1:2" s="66" customFormat="1" ht="12.75">
      <c r="A17" s="404" t="s">
        <v>165</v>
      </c>
      <c r="B17" s="405" t="s">
        <v>170</v>
      </c>
    </row>
    <row r="18" spans="1:2" s="66" customFormat="1" ht="12.75">
      <c r="A18" s="410" t="s">
        <v>167</v>
      </c>
      <c r="B18" s="411" t="s">
        <v>168</v>
      </c>
    </row>
    <row r="19" spans="1:2" s="66" customFormat="1" ht="12.75">
      <c r="A19" s="412" t="s">
        <v>171</v>
      </c>
      <c r="B19" s="413"/>
    </row>
    <row r="20" spans="1:2" s="66" customFormat="1" ht="12.75">
      <c r="A20" s="173" t="s">
        <v>160</v>
      </c>
      <c r="B20" s="176" t="s">
        <v>355</v>
      </c>
    </row>
    <row r="21" spans="1:2" s="66" customFormat="1" ht="12.75">
      <c r="A21" s="173" t="s">
        <v>165</v>
      </c>
      <c r="B21" s="176" t="s">
        <v>166</v>
      </c>
    </row>
    <row r="22" spans="1:2" s="66" customFormat="1" ht="12.75">
      <c r="A22" s="173" t="s">
        <v>163</v>
      </c>
      <c r="B22" s="176" t="s">
        <v>483</v>
      </c>
    </row>
    <row r="23" spans="1:2" s="66" customFormat="1" ht="12.75">
      <c r="A23" s="173" t="s">
        <v>397</v>
      </c>
      <c r="B23" s="176" t="s">
        <v>398</v>
      </c>
    </row>
    <row r="24" spans="1:2" s="66" customFormat="1" ht="12.75">
      <c r="A24" s="168" t="s">
        <v>167</v>
      </c>
      <c r="B24" s="170" t="s">
        <v>369</v>
      </c>
    </row>
    <row r="25" spans="1:2" s="66" customFormat="1" ht="12.75">
      <c r="A25" s="156" t="s">
        <v>172</v>
      </c>
      <c r="B25" s="157"/>
    </row>
    <row r="26" spans="1:2" s="66" customFormat="1" ht="12.75">
      <c r="A26" s="404" t="s">
        <v>173</v>
      </c>
      <c r="B26" s="405" t="s">
        <v>538</v>
      </c>
    </row>
    <row r="27" spans="1:7" s="66" customFormat="1" ht="12.75">
      <c r="A27" s="404" t="s">
        <v>174</v>
      </c>
      <c r="B27" s="414">
        <v>40</v>
      </c>
      <c r="G27" s="68"/>
    </row>
    <row r="28" spans="1:2" s="66" customFormat="1" ht="12.75">
      <c r="A28" s="404" t="s">
        <v>175</v>
      </c>
      <c r="B28" s="414">
        <v>45</v>
      </c>
    </row>
    <row r="29" spans="1:2" s="66" customFormat="1" ht="12.75">
      <c r="A29" s="404" t="s">
        <v>397</v>
      </c>
      <c r="B29" s="414" t="s">
        <v>539</v>
      </c>
    </row>
    <row r="30" spans="1:2" s="66" customFormat="1" ht="12.75">
      <c r="A30" s="404" t="s">
        <v>167</v>
      </c>
      <c r="B30" s="414" t="s">
        <v>477</v>
      </c>
    </row>
    <row r="31" spans="1:2" s="66" customFormat="1" ht="12.75">
      <c r="A31" s="404" t="s">
        <v>176</v>
      </c>
      <c r="B31" s="406">
        <v>22</v>
      </c>
    </row>
    <row r="32" spans="1:2" s="66" customFormat="1" ht="12.75">
      <c r="A32" s="407" t="s">
        <v>177</v>
      </c>
      <c r="B32" s="415"/>
    </row>
    <row r="33" spans="1:2" s="66" customFormat="1" ht="12.75">
      <c r="A33" s="152" t="s">
        <v>178</v>
      </c>
      <c r="B33" s="153" t="s">
        <v>390</v>
      </c>
    </row>
    <row r="34" spans="1:2" s="66" customFormat="1" ht="12.75">
      <c r="A34" s="152" t="s">
        <v>163</v>
      </c>
      <c r="B34" s="153" t="s">
        <v>549</v>
      </c>
    </row>
    <row r="35" spans="1:2" s="66" customFormat="1" ht="12.75">
      <c r="A35" s="152" t="s">
        <v>397</v>
      </c>
      <c r="B35" s="153" t="s">
        <v>478</v>
      </c>
    </row>
    <row r="36" spans="1:2" s="66" customFormat="1" ht="12.75">
      <c r="A36" s="152" t="s">
        <v>179</v>
      </c>
      <c r="B36" s="153" t="s">
        <v>389</v>
      </c>
    </row>
    <row r="37" spans="1:2" s="66" customFormat="1" ht="12.75">
      <c r="A37" s="156" t="s">
        <v>181</v>
      </c>
      <c r="B37" s="157"/>
    </row>
    <row r="38" spans="1:2" s="66" customFormat="1" ht="12.75">
      <c r="A38" s="404" t="s">
        <v>162</v>
      </c>
      <c r="B38" s="406">
        <v>40</v>
      </c>
    </row>
    <row r="39" spans="1:2" s="66" customFormat="1" ht="12.75">
      <c r="A39" s="404" t="s">
        <v>397</v>
      </c>
      <c r="B39" s="406" t="s">
        <v>479</v>
      </c>
    </row>
    <row r="40" spans="1:2" s="66" customFormat="1" ht="12.75">
      <c r="A40" s="410" t="s">
        <v>167</v>
      </c>
      <c r="B40" s="411" t="s">
        <v>398</v>
      </c>
    </row>
    <row r="41" spans="1:2" s="66" customFormat="1" ht="12.75">
      <c r="A41" s="407" t="s">
        <v>182</v>
      </c>
      <c r="B41" s="415"/>
    </row>
    <row r="42" spans="1:2" s="66" customFormat="1" ht="12.75">
      <c r="A42" s="152" t="s">
        <v>160</v>
      </c>
      <c r="B42" s="153" t="s">
        <v>355</v>
      </c>
    </row>
    <row r="43" spans="1:2" s="66" customFormat="1" ht="12.75">
      <c r="A43" s="152" t="s">
        <v>165</v>
      </c>
      <c r="B43" s="153" t="s">
        <v>166</v>
      </c>
    </row>
    <row r="44" spans="1:2" s="66" customFormat="1" ht="12.75">
      <c r="A44" s="152" t="s">
        <v>178</v>
      </c>
      <c r="B44" s="153" t="s">
        <v>481</v>
      </c>
    </row>
    <row r="45" spans="1:2" s="66" customFormat="1" ht="12.75">
      <c r="A45" s="152" t="s">
        <v>163</v>
      </c>
      <c r="B45" s="153" t="s">
        <v>482</v>
      </c>
    </row>
    <row r="46" spans="1:2" s="66" customFormat="1" ht="12.75">
      <c r="A46" s="152" t="s">
        <v>397</v>
      </c>
      <c r="B46" s="153" t="s">
        <v>480</v>
      </c>
    </row>
    <row r="47" spans="1:2" s="66" customFormat="1" ht="12.75">
      <c r="A47" s="154" t="s">
        <v>167</v>
      </c>
      <c r="B47" s="155" t="s">
        <v>168</v>
      </c>
    </row>
    <row r="48" spans="1:2" s="66" customFormat="1" ht="12.75">
      <c r="A48" s="156" t="s">
        <v>183</v>
      </c>
      <c r="B48" s="157"/>
    </row>
    <row r="49" spans="1:2" s="66" customFormat="1" ht="12.75">
      <c r="A49" s="416" t="s">
        <v>160</v>
      </c>
      <c r="B49" s="417" t="s">
        <v>184</v>
      </c>
    </row>
    <row r="50" spans="1:2" s="66" customFormat="1" ht="12.75" hidden="1">
      <c r="A50" s="404" t="s">
        <v>285</v>
      </c>
      <c r="B50" s="414">
        <v>37</v>
      </c>
    </row>
    <row r="51" spans="1:2" s="66" customFormat="1" ht="12.75">
      <c r="A51" s="404" t="s">
        <v>165</v>
      </c>
      <c r="B51" s="414" t="s">
        <v>185</v>
      </c>
    </row>
    <row r="52" spans="1:2" s="66" customFormat="1" ht="12.75">
      <c r="A52" s="404" t="s">
        <v>397</v>
      </c>
      <c r="B52" s="414" t="s">
        <v>486</v>
      </c>
    </row>
    <row r="53" spans="1:2" s="66" customFormat="1" ht="12.75">
      <c r="A53" s="404" t="s">
        <v>163</v>
      </c>
      <c r="B53" s="414" t="s">
        <v>268</v>
      </c>
    </row>
    <row r="54" spans="1:2" s="66" customFormat="1" ht="12.75">
      <c r="A54" s="410" t="s">
        <v>167</v>
      </c>
      <c r="B54" s="418" t="s">
        <v>410</v>
      </c>
    </row>
    <row r="55" spans="1:2" s="66" customFormat="1" ht="12.75">
      <c r="A55" s="407" t="s">
        <v>186</v>
      </c>
      <c r="B55" s="415"/>
    </row>
    <row r="56" spans="1:2" s="66" customFormat="1" ht="12.75" hidden="1">
      <c r="A56" s="152" t="s">
        <v>187</v>
      </c>
      <c r="B56" s="153" t="s">
        <v>161</v>
      </c>
    </row>
    <row r="57" spans="1:2" s="66" customFormat="1" ht="12.75">
      <c r="A57" s="152" t="s">
        <v>162</v>
      </c>
      <c r="B57" s="160">
        <v>25</v>
      </c>
    </row>
    <row r="58" spans="1:2" s="66" customFormat="1" ht="12.75">
      <c r="A58" s="173" t="s">
        <v>163</v>
      </c>
      <c r="B58" s="160" t="s">
        <v>487</v>
      </c>
    </row>
    <row r="59" spans="1:2" s="66" customFormat="1" ht="12.75">
      <c r="A59" s="152" t="s">
        <v>397</v>
      </c>
      <c r="B59" s="160" t="s">
        <v>427</v>
      </c>
    </row>
    <row r="60" spans="1:2" s="66" customFormat="1" ht="13.5" thickBot="1">
      <c r="A60" s="419" t="s">
        <v>167</v>
      </c>
      <c r="B60" s="420" t="s">
        <v>168</v>
      </c>
    </row>
    <row r="61" spans="1:2" s="66" customFormat="1" ht="12.75">
      <c r="A61" s="403"/>
      <c r="B61" s="401" t="str">
        <f ca="1">CELL("filename")</f>
        <v>S:\IF_Admin\SERIES 18 - Tuition and Fees\SUMMARIES\14-15\[2014-15 Tuition and Fees_summary.xls]4 YR</v>
      </c>
    </row>
    <row r="62" spans="1:2" ht="15">
      <c r="A62" s="400"/>
      <c r="B62" s="401"/>
    </row>
    <row r="63" spans="1:2" s="70" customFormat="1" ht="14.25">
      <c r="A63" s="402" t="s">
        <v>188</v>
      </c>
      <c r="B63" s="402"/>
    </row>
    <row r="64" spans="1:2" s="70" customFormat="1" ht="29.25" customHeight="1">
      <c r="A64" s="440" t="s">
        <v>189</v>
      </c>
      <c r="B64" s="440"/>
    </row>
    <row r="65" spans="1:2" ht="15">
      <c r="A65" s="400"/>
      <c r="B65" s="400"/>
    </row>
    <row r="108" ht="16.5">
      <c r="A108" s="398"/>
    </row>
  </sheetData>
  <sheetProtection/>
  <mergeCells count="3">
    <mergeCell ref="A1:B1"/>
    <mergeCell ref="A64:B64"/>
    <mergeCell ref="F13:G13"/>
  </mergeCells>
  <printOptions horizontalCentered="1"/>
  <pageMargins left="0.35" right="0.25" top="0.61" bottom="0.31" header="0.76" footer="0.27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PageLayoutView="0" workbookViewId="0" topLeftCell="A1">
      <selection activeCell="H49" sqref="H49"/>
    </sheetView>
  </sheetViews>
  <sheetFormatPr defaultColWidth="9.140625" defaultRowHeight="12.75"/>
  <cols>
    <col min="1" max="1" width="15.421875" style="65" customWidth="1"/>
    <col min="2" max="2" width="9.28125" style="89" bestFit="1" customWidth="1"/>
    <col min="3" max="3" width="10.00390625" style="89" customWidth="1"/>
    <col min="4" max="4" width="13.140625" style="89" bestFit="1" customWidth="1"/>
    <col min="5" max="5" width="16.140625" style="89" bestFit="1" customWidth="1"/>
    <col min="6" max="6" width="17.00390625" style="89" bestFit="1" customWidth="1"/>
    <col min="7" max="8" width="15.00390625" style="89" customWidth="1"/>
    <col min="9" max="9" width="9.57421875" style="89" bestFit="1" customWidth="1"/>
    <col min="10" max="10" width="10.57421875" style="89" customWidth="1"/>
    <col min="11" max="12" width="9.140625" style="89" customWidth="1"/>
    <col min="13" max="16384" width="9.140625" style="65" customWidth="1"/>
  </cols>
  <sheetData>
    <row r="1" ht="20.25">
      <c r="A1" s="88" t="s">
        <v>543</v>
      </c>
    </row>
    <row r="2" ht="15.75" thickBot="1"/>
    <row r="3" spans="1:12" ht="17.25" thickBot="1">
      <c r="A3" s="100"/>
      <c r="B3" s="442" t="s">
        <v>223</v>
      </c>
      <c r="C3" s="443"/>
      <c r="D3" s="443"/>
      <c r="E3" s="443"/>
      <c r="F3" s="443"/>
      <c r="G3" s="443"/>
      <c r="H3" s="443"/>
      <c r="I3" s="443"/>
      <c r="J3" s="444"/>
      <c r="K3" s="65"/>
      <c r="L3" s="65"/>
    </row>
    <row r="4" spans="1:12" ht="16.5" thickBot="1">
      <c r="A4" s="376" t="s">
        <v>222</v>
      </c>
      <c r="B4" s="377" t="s">
        <v>224</v>
      </c>
      <c r="C4" s="377" t="s">
        <v>245</v>
      </c>
      <c r="D4" s="377" t="s">
        <v>246</v>
      </c>
      <c r="E4" s="377" t="s">
        <v>123</v>
      </c>
      <c r="F4" s="377" t="s">
        <v>231</v>
      </c>
      <c r="G4" s="377" t="s">
        <v>236</v>
      </c>
      <c r="H4" s="378" t="s">
        <v>345</v>
      </c>
      <c r="I4" s="334" t="s">
        <v>91</v>
      </c>
      <c r="J4" s="335" t="s">
        <v>237</v>
      </c>
      <c r="K4" s="65"/>
      <c r="L4" s="65"/>
    </row>
    <row r="5" spans="1:12" ht="15">
      <c r="A5" s="117" t="s">
        <v>121</v>
      </c>
      <c r="B5" s="118"/>
      <c r="C5" s="118"/>
      <c r="D5" s="118"/>
      <c r="E5" s="118"/>
      <c r="F5" s="118">
        <f>'Notes-2yr'!D2</f>
        <v>50</v>
      </c>
      <c r="G5" s="119">
        <f>'Notes-2yr'!D3</f>
        <v>180</v>
      </c>
      <c r="H5" s="211"/>
      <c r="I5" s="336">
        <f>SUM(B5:H5)</f>
        <v>230</v>
      </c>
      <c r="J5" s="120">
        <f aca="true" t="shared" si="0" ref="J5:J14">I5/30</f>
        <v>7.666666666666667</v>
      </c>
      <c r="K5" s="65"/>
      <c r="L5" s="65"/>
    </row>
    <row r="6" spans="1:12" ht="15">
      <c r="A6" s="121" t="s">
        <v>10</v>
      </c>
      <c r="B6" s="122"/>
      <c r="C6" s="122">
        <f>'Notes-2yr'!D6</f>
        <v>90</v>
      </c>
      <c r="D6" s="122"/>
      <c r="E6" s="122">
        <f>'Notes-2yr'!D7</f>
        <v>120</v>
      </c>
      <c r="F6" s="122">
        <f>'Notes-2yr'!D8+'Notes-2yr'!D9</f>
        <v>270</v>
      </c>
      <c r="G6" s="123"/>
      <c r="H6" s="124"/>
      <c r="I6" s="337">
        <f aca="true" t="shared" si="1" ref="I6:I26">SUM(B6:H6)</f>
        <v>480</v>
      </c>
      <c r="J6" s="124">
        <f t="shared" si="0"/>
        <v>16</v>
      </c>
      <c r="K6" s="65"/>
      <c r="L6" s="65"/>
    </row>
    <row r="7" spans="1:12" ht="15">
      <c r="A7" s="117" t="s">
        <v>14</v>
      </c>
      <c r="B7" s="118"/>
      <c r="C7" s="118"/>
      <c r="D7" s="118"/>
      <c r="E7" s="118">
        <f>'Notes-2yr'!D14</f>
        <v>510</v>
      </c>
      <c r="F7" s="118">
        <f>'Notes-2yr'!D15</f>
        <v>150</v>
      </c>
      <c r="G7" s="119"/>
      <c r="H7" s="120"/>
      <c r="I7" s="336">
        <f t="shared" si="1"/>
        <v>660</v>
      </c>
      <c r="J7" s="120">
        <f t="shared" si="0"/>
        <v>22</v>
      </c>
      <c r="K7" s="65"/>
      <c r="L7" s="65"/>
    </row>
    <row r="8" spans="1:12" ht="15">
      <c r="A8" s="121" t="s">
        <v>13</v>
      </c>
      <c r="B8" s="122">
        <f>'Notes-2yr'!D20</f>
        <v>60</v>
      </c>
      <c r="C8" s="122"/>
      <c r="D8" s="122"/>
      <c r="E8" s="122"/>
      <c r="F8" s="122">
        <f>'Notes-2yr'!D18+'Notes-2yr'!D19</f>
        <v>390</v>
      </c>
      <c r="G8" s="123"/>
      <c r="H8" s="124"/>
      <c r="I8" s="337">
        <f t="shared" si="1"/>
        <v>450</v>
      </c>
      <c r="J8" s="124">
        <f t="shared" si="0"/>
        <v>15</v>
      </c>
      <c r="K8" s="65"/>
      <c r="L8" s="65"/>
    </row>
    <row r="9" spans="1:12" ht="15">
      <c r="A9" s="117" t="s">
        <v>79</v>
      </c>
      <c r="B9" s="118">
        <f>'Notes-2yr'!D24</f>
        <v>30</v>
      </c>
      <c r="C9" s="118"/>
      <c r="D9" s="118"/>
      <c r="E9" s="118"/>
      <c r="F9" s="118">
        <f>SUM('Notes-2yr'!D25:D26)</f>
        <v>60</v>
      </c>
      <c r="G9" s="119">
        <f>'Notes-2yr'!D23</f>
        <v>480</v>
      </c>
      <c r="H9" s="120"/>
      <c r="I9" s="336">
        <f t="shared" si="1"/>
        <v>570</v>
      </c>
      <c r="J9" s="120">
        <f t="shared" si="0"/>
        <v>19</v>
      </c>
      <c r="K9" s="65"/>
      <c r="L9" s="65"/>
    </row>
    <row r="10" spans="1:12" ht="15">
      <c r="A10" s="121" t="s">
        <v>30</v>
      </c>
      <c r="B10" s="122">
        <f>'Notes-2yr'!D30</f>
        <v>4</v>
      </c>
      <c r="C10" s="122"/>
      <c r="D10" s="122"/>
      <c r="E10" s="122">
        <f>'Notes-2yr'!D31</f>
        <v>210</v>
      </c>
      <c r="F10" s="122">
        <f>'Notes-2yr'!D29+'Notes-2yr'!D32</f>
        <v>138</v>
      </c>
      <c r="G10" s="123"/>
      <c r="H10" s="124">
        <f>'Notes-2yr'!D33</f>
        <v>150</v>
      </c>
      <c r="I10" s="337">
        <f t="shared" si="1"/>
        <v>502</v>
      </c>
      <c r="J10" s="124">
        <f t="shared" si="0"/>
        <v>16.733333333333334</v>
      </c>
      <c r="K10" s="65"/>
      <c r="L10" s="65"/>
    </row>
    <row r="11" spans="1:12" ht="15">
      <c r="A11" s="246" t="s">
        <v>417</v>
      </c>
      <c r="B11" s="247">
        <f>'Notes-2yr'!D36</f>
        <v>60</v>
      </c>
      <c r="C11" s="247"/>
      <c r="D11" s="247"/>
      <c r="E11" s="247">
        <f>'Notes-2yr'!D38</f>
        <v>270</v>
      </c>
      <c r="F11" s="247">
        <f>'Notes-2yr'!D40</f>
        <v>20</v>
      </c>
      <c r="G11" s="248">
        <f>'Notes-2yr'!D37</f>
        <v>300</v>
      </c>
      <c r="H11" s="249">
        <f>'Notes-2yr'!D39</f>
        <v>20</v>
      </c>
      <c r="I11" s="338">
        <f>SUM(B11:H11)</f>
        <v>670</v>
      </c>
      <c r="J11" s="249">
        <f>I11/30</f>
        <v>22.333333333333332</v>
      </c>
      <c r="K11" s="65"/>
      <c r="L11" s="65"/>
    </row>
    <row r="12" spans="1:12" ht="15">
      <c r="A12" s="121" t="s">
        <v>16</v>
      </c>
      <c r="B12" s="122"/>
      <c r="C12" s="122"/>
      <c r="D12" s="122"/>
      <c r="E12" s="122"/>
      <c r="F12" s="122">
        <f>'Notes-2yr'!D44</f>
        <v>180</v>
      </c>
      <c r="G12" s="123">
        <f>'Notes-2yr'!D45</f>
        <v>90</v>
      </c>
      <c r="H12" s="124"/>
      <c r="I12" s="337">
        <f t="shared" si="1"/>
        <v>270</v>
      </c>
      <c r="J12" s="124">
        <f t="shared" si="0"/>
        <v>9</v>
      </c>
      <c r="K12" s="65"/>
      <c r="L12" s="65"/>
    </row>
    <row r="13" spans="1:12" ht="15">
      <c r="A13" s="246" t="s">
        <v>17</v>
      </c>
      <c r="B13" s="247">
        <f>'Notes-2yr'!D50</f>
        <v>60</v>
      </c>
      <c r="C13" s="247"/>
      <c r="D13" s="247"/>
      <c r="E13" s="247"/>
      <c r="F13" s="247">
        <f>'Notes-2yr'!D48+'Notes-2yr'!D51+'Notes-2yr'!D53</f>
        <v>130</v>
      </c>
      <c r="G13" s="248">
        <f>'Notes-2yr'!D49</f>
        <v>240</v>
      </c>
      <c r="H13" s="248">
        <f>'Notes-2yr'!D52</f>
        <v>60</v>
      </c>
      <c r="I13" s="338">
        <f t="shared" si="1"/>
        <v>490</v>
      </c>
      <c r="J13" s="249">
        <f t="shared" si="0"/>
        <v>16.333333333333332</v>
      </c>
      <c r="K13" s="65"/>
      <c r="L13" s="65"/>
    </row>
    <row r="14" spans="1:12" ht="15">
      <c r="A14" s="121" t="s">
        <v>18</v>
      </c>
      <c r="B14" s="122">
        <f>'Notes-2yr'!D56</f>
        <v>90</v>
      </c>
      <c r="C14" s="122"/>
      <c r="D14" s="122"/>
      <c r="E14" s="122"/>
      <c r="F14" s="122">
        <f>'Notes-2yr'!D57+'Notes-2yr'!D59</f>
        <v>150</v>
      </c>
      <c r="G14" s="123">
        <f>'Notes-2yr'!D58</f>
        <v>150</v>
      </c>
      <c r="H14" s="124"/>
      <c r="I14" s="337">
        <f t="shared" si="1"/>
        <v>390</v>
      </c>
      <c r="J14" s="124">
        <f t="shared" si="0"/>
        <v>13</v>
      </c>
      <c r="K14" s="65"/>
      <c r="L14" s="65"/>
    </row>
    <row r="15" spans="1:12" ht="15">
      <c r="A15" s="246" t="s">
        <v>122</v>
      </c>
      <c r="B15" s="247">
        <f>'Notes-2yr'!D64</f>
        <v>30</v>
      </c>
      <c r="C15" s="247"/>
      <c r="D15" s="247"/>
      <c r="E15" s="247">
        <f>'Notes-2yr'!D63</f>
        <v>100</v>
      </c>
      <c r="F15" s="247">
        <f>'Notes-2yr'!D62</f>
        <v>100</v>
      </c>
      <c r="G15" s="248">
        <f>'Notes-2yr'!D65</f>
        <v>240</v>
      </c>
      <c r="H15" s="249">
        <f>'Notes-2yr'!D66</f>
        <v>50</v>
      </c>
      <c r="I15" s="338">
        <f t="shared" si="1"/>
        <v>520</v>
      </c>
      <c r="J15" s="249">
        <f aca="true" t="shared" si="2" ref="J15:J20">I15/30</f>
        <v>17.333333333333332</v>
      </c>
      <c r="K15" s="65"/>
      <c r="L15" s="65"/>
    </row>
    <row r="16" spans="1:12" ht="15">
      <c r="A16" s="121" t="s">
        <v>74</v>
      </c>
      <c r="B16" s="122"/>
      <c r="C16" s="122"/>
      <c r="D16" s="122"/>
      <c r="E16" s="122">
        <f>'Notes-2yr'!D71+'Notes-2yr'!D72</f>
        <v>170</v>
      </c>
      <c r="F16" s="122">
        <f>'Notes-2yr'!D70+'Notes-2yr'!D74</f>
        <v>300</v>
      </c>
      <c r="G16" s="303">
        <f>'Notes-2yr'!D69</f>
        <v>322.5</v>
      </c>
      <c r="H16" s="124">
        <f>'Notes-2yr'!D73</f>
        <v>45</v>
      </c>
      <c r="I16" s="339">
        <f t="shared" si="1"/>
        <v>837.5</v>
      </c>
      <c r="J16" s="304">
        <f t="shared" si="2"/>
        <v>27.916666666666668</v>
      </c>
      <c r="K16" s="65"/>
      <c r="L16" s="65"/>
    </row>
    <row r="17" spans="1:12" ht="15">
      <c r="A17" s="117" t="s">
        <v>19</v>
      </c>
      <c r="B17" s="118"/>
      <c r="C17" s="118"/>
      <c r="D17" s="118"/>
      <c r="E17" s="118">
        <f>'Notes-2yr'!D78</f>
        <v>360</v>
      </c>
      <c r="F17" s="118">
        <f>'Notes-2yr'!D80+'Notes-2yr'!D83+'Notes-2yr'!D82</f>
        <v>270</v>
      </c>
      <c r="G17" s="119">
        <f>'Notes-2yr'!D79</f>
        <v>100</v>
      </c>
      <c r="H17" s="120">
        <f>'Notes-2yr'!D81</f>
        <v>75</v>
      </c>
      <c r="I17" s="336">
        <f t="shared" si="1"/>
        <v>805</v>
      </c>
      <c r="J17" s="120">
        <f t="shared" si="2"/>
        <v>26.833333333333332</v>
      </c>
      <c r="K17" s="65"/>
      <c r="L17" s="65"/>
    </row>
    <row r="18" spans="1:12" ht="15">
      <c r="A18" s="121" t="s">
        <v>20</v>
      </c>
      <c r="B18" s="122"/>
      <c r="C18" s="122"/>
      <c r="D18" s="122"/>
      <c r="E18" s="122">
        <f>'Notes-2yr'!D89</f>
        <v>75</v>
      </c>
      <c r="F18" s="122">
        <f>'Notes-2yr'!D86+'Notes-2yr'!D88</f>
        <v>200</v>
      </c>
      <c r="G18" s="123">
        <f>'Notes-2yr'!D87</f>
        <v>180</v>
      </c>
      <c r="H18" s="124">
        <f>'Notes-2yr'!D90</f>
        <v>120</v>
      </c>
      <c r="I18" s="337">
        <f t="shared" si="1"/>
        <v>575</v>
      </c>
      <c r="J18" s="124">
        <f t="shared" si="2"/>
        <v>19.166666666666668</v>
      </c>
      <c r="K18" s="65"/>
      <c r="L18" s="65"/>
    </row>
    <row r="19" spans="1:12" ht="15">
      <c r="A19" s="117" t="s">
        <v>21</v>
      </c>
      <c r="B19" s="118"/>
      <c r="C19" s="118"/>
      <c r="D19" s="118">
        <f>'Notes-2yr'!D94</f>
        <v>390</v>
      </c>
      <c r="E19" s="118">
        <f>'Notes-2yr'!D98</f>
        <v>23</v>
      </c>
      <c r="F19" s="118">
        <f>'Notes-2yr'!D93+'Notes-2yr'!D97+'Notes-2yr'!D99+'Notes-2yr'!D100</f>
        <v>500</v>
      </c>
      <c r="G19" s="119">
        <f>'Notes-2yr'!D95</f>
        <v>210</v>
      </c>
      <c r="H19" s="120">
        <f>'Notes-2yr'!D96</f>
        <v>40</v>
      </c>
      <c r="I19" s="336">
        <f t="shared" si="1"/>
        <v>1163</v>
      </c>
      <c r="J19" s="120">
        <f t="shared" si="2"/>
        <v>38.766666666666666</v>
      </c>
      <c r="K19" s="65"/>
      <c r="L19" s="65"/>
    </row>
    <row r="20" spans="1:12" ht="15">
      <c r="A20" s="121" t="s">
        <v>22</v>
      </c>
      <c r="B20" s="122">
        <f>'Notes-2yr'!D103</f>
        <v>60</v>
      </c>
      <c r="C20" s="122"/>
      <c r="D20" s="122"/>
      <c r="E20" s="122">
        <f>'Notes-2yr'!D107</f>
        <v>150</v>
      </c>
      <c r="F20" s="122">
        <f>'Notes-2yr'!D105+'Notes-2yr'!D106</f>
        <v>180</v>
      </c>
      <c r="G20" s="123">
        <f>'Notes-2yr'!D104</f>
        <v>330</v>
      </c>
      <c r="H20" s="124">
        <f>'Notes-2yr'!D108</f>
        <v>150</v>
      </c>
      <c r="I20" s="337">
        <f t="shared" si="1"/>
        <v>870</v>
      </c>
      <c r="J20" s="124">
        <f t="shared" si="2"/>
        <v>29</v>
      </c>
      <c r="K20" s="65"/>
      <c r="L20" s="65"/>
    </row>
    <row r="21" spans="1:12" ht="15">
      <c r="A21" s="117" t="s">
        <v>23</v>
      </c>
      <c r="B21" s="118">
        <f>'Notes-2yr'!D113</f>
        <v>30</v>
      </c>
      <c r="C21" s="118"/>
      <c r="D21" s="118"/>
      <c r="E21" s="118"/>
      <c r="F21" s="118">
        <f>'Notes-2yr'!D111+'Notes-2yr'!D115</f>
        <v>80</v>
      </c>
      <c r="G21" s="119">
        <f>'Notes-2yr'!D112</f>
        <v>240</v>
      </c>
      <c r="H21" s="120">
        <f>'Notes-2yr'!D114</f>
        <v>120</v>
      </c>
      <c r="I21" s="336">
        <f t="shared" si="1"/>
        <v>470</v>
      </c>
      <c r="J21" s="120">
        <f aca="true" t="shared" si="3" ref="J21:J26">I21/30</f>
        <v>15.666666666666666</v>
      </c>
      <c r="K21" s="65"/>
      <c r="L21" s="65"/>
    </row>
    <row r="22" spans="1:12" ht="15">
      <c r="A22" s="121" t="s">
        <v>25</v>
      </c>
      <c r="B22" s="122"/>
      <c r="C22" s="122"/>
      <c r="D22" s="122"/>
      <c r="E22" s="122">
        <f>'Notes-2yr'!D119</f>
        <v>60</v>
      </c>
      <c r="F22" s="122">
        <f>'Notes-2yr'!D118</f>
        <v>750</v>
      </c>
      <c r="G22" s="123"/>
      <c r="H22" s="124"/>
      <c r="I22" s="337">
        <f t="shared" si="1"/>
        <v>810</v>
      </c>
      <c r="J22" s="124">
        <f t="shared" si="3"/>
        <v>27</v>
      </c>
      <c r="K22" s="65"/>
      <c r="L22" s="65"/>
    </row>
    <row r="23" spans="1:12" ht="15">
      <c r="A23" s="117" t="s">
        <v>24</v>
      </c>
      <c r="B23" s="118">
        <f>'Notes-2yr'!D125</f>
        <v>60</v>
      </c>
      <c r="C23" s="118"/>
      <c r="D23" s="118"/>
      <c r="E23" s="118"/>
      <c r="F23" s="118">
        <f>'Notes-2yr'!D122+'Notes-2yr'!D124</f>
        <v>190</v>
      </c>
      <c r="G23" s="119">
        <f>'Notes-2yr'!D123</f>
        <v>300</v>
      </c>
      <c r="H23" s="120"/>
      <c r="I23" s="336">
        <f t="shared" si="1"/>
        <v>550</v>
      </c>
      <c r="J23" s="120">
        <f t="shared" si="3"/>
        <v>18.333333333333332</v>
      </c>
      <c r="K23" s="65"/>
      <c r="L23" s="65"/>
    </row>
    <row r="24" spans="1:12" ht="15">
      <c r="A24" s="121" t="s">
        <v>27</v>
      </c>
      <c r="B24" s="122">
        <f>'Notes-2yr'!D129</f>
        <v>210</v>
      </c>
      <c r="C24" s="122"/>
      <c r="D24" s="122"/>
      <c r="E24" s="122"/>
      <c r="F24" s="122">
        <f>'Notes-2yr'!D128+'Notes-2yr'!D131+'Notes-2yr'!D133+'Notes-2yr'!D134</f>
        <v>210</v>
      </c>
      <c r="G24" s="123">
        <f>'Notes-2yr'!D130</f>
        <v>180</v>
      </c>
      <c r="H24" s="124">
        <f>'Notes-2yr'!D132</f>
        <v>120</v>
      </c>
      <c r="I24" s="337">
        <f t="shared" si="1"/>
        <v>720</v>
      </c>
      <c r="J24" s="124">
        <f t="shared" si="3"/>
        <v>24</v>
      </c>
      <c r="K24" s="65"/>
      <c r="L24" s="65"/>
    </row>
    <row r="25" spans="1:12" ht="15">
      <c r="A25" s="117" t="s">
        <v>26</v>
      </c>
      <c r="B25" s="118">
        <f>'Notes-2yr'!D137</f>
        <v>30</v>
      </c>
      <c r="C25" s="118"/>
      <c r="D25" s="118"/>
      <c r="E25" s="118">
        <f>'Notes-2yr'!D141</f>
        <v>90</v>
      </c>
      <c r="F25" s="118">
        <f>'Notes-2yr'!D138+'Notes-2yr'!D139</f>
        <v>280</v>
      </c>
      <c r="G25" s="119"/>
      <c r="H25" s="120">
        <f>'Notes-2yr'!D140</f>
        <v>120</v>
      </c>
      <c r="I25" s="336">
        <f t="shared" si="1"/>
        <v>520</v>
      </c>
      <c r="J25" s="120">
        <f t="shared" si="3"/>
        <v>17.333333333333332</v>
      </c>
      <c r="K25" s="65"/>
      <c r="L25" s="65"/>
    </row>
    <row r="26" spans="1:12" ht="15.75" thickBot="1">
      <c r="A26" s="125" t="s">
        <v>31</v>
      </c>
      <c r="B26" s="126">
        <f>'Notes-2yr'!D145</f>
        <v>30</v>
      </c>
      <c r="C26" s="126"/>
      <c r="D26" s="126"/>
      <c r="E26" s="126">
        <f>'Notes-2yr'!D150</f>
        <v>300</v>
      </c>
      <c r="F26" s="126">
        <f>'Notes-2yr'!D146+'Notes-2yr'!D149</f>
        <v>170</v>
      </c>
      <c r="G26" s="127">
        <f>'Notes-2yr'!D147</f>
        <v>300</v>
      </c>
      <c r="H26" s="128">
        <f>'Notes-2yr'!D148</f>
        <v>90</v>
      </c>
      <c r="I26" s="340">
        <f t="shared" si="1"/>
        <v>890</v>
      </c>
      <c r="J26" s="128">
        <f t="shared" si="3"/>
        <v>29.666666666666668</v>
      </c>
      <c r="K26" s="65"/>
      <c r="L26" s="65"/>
    </row>
    <row r="27" spans="1:12" ht="15">
      <c r="A27" s="251" t="str">
        <f ca="1">CELL("filename")</f>
        <v>S:\IF_Admin\SERIES 18 - Tuition and Fees\SUMMARIES\14-15\[2014-15 Tuition and Fees_summary.xls]4 YR</v>
      </c>
      <c r="B27" s="394"/>
      <c r="G27" s="65"/>
      <c r="H27" s="65"/>
      <c r="I27" s="69"/>
      <c r="L27" s="65"/>
    </row>
    <row r="28" spans="2:12" ht="15">
      <c r="B28" s="399"/>
      <c r="G28" s="65"/>
      <c r="H28" s="65"/>
      <c r="I28" s="69"/>
      <c r="J28" s="69"/>
      <c r="L28" s="65"/>
    </row>
    <row r="29" spans="1:12" ht="15">
      <c r="A29" s="115" t="s">
        <v>294</v>
      </c>
      <c r="B29" s="394"/>
      <c r="L29" s="65"/>
    </row>
    <row r="30" spans="2:12" ht="9" customHeight="1">
      <c r="B30" s="399"/>
      <c r="L30" s="99"/>
    </row>
    <row r="31" spans="1:2" ht="15.75">
      <c r="A31" s="116" t="s">
        <v>239</v>
      </c>
      <c r="B31" s="399"/>
    </row>
    <row r="32" spans="1:2" ht="15">
      <c r="A32" s="70" t="s">
        <v>240</v>
      </c>
      <c r="B32" s="394"/>
    </row>
    <row r="33" spans="1:2" ht="15">
      <c r="A33" s="70" t="s">
        <v>241</v>
      </c>
      <c r="B33" s="394"/>
    </row>
    <row r="34" spans="1:2" ht="15">
      <c r="A34" s="70" t="s">
        <v>242</v>
      </c>
      <c r="B34" s="394"/>
    </row>
    <row r="35" spans="1:2" ht="15">
      <c r="A35" s="70" t="s">
        <v>243</v>
      </c>
      <c r="B35" s="394"/>
    </row>
    <row r="36" ht="15">
      <c r="B36" s="399"/>
    </row>
    <row r="37" ht="15">
      <c r="B37" s="399"/>
    </row>
    <row r="38" ht="15">
      <c r="B38" s="399"/>
    </row>
    <row r="39" ht="15">
      <c r="B39" s="399"/>
    </row>
    <row r="40" ht="15">
      <c r="B40" s="399"/>
    </row>
    <row r="41" ht="15">
      <c r="B41" s="399"/>
    </row>
    <row r="42" ht="15">
      <c r="B42" s="399"/>
    </row>
    <row r="43" ht="15">
      <c r="B43" s="399"/>
    </row>
    <row r="44" ht="15">
      <c r="B44" s="399"/>
    </row>
    <row r="45" ht="15">
      <c r="B45" s="399"/>
    </row>
    <row r="46" ht="15">
      <c r="B46" s="399"/>
    </row>
    <row r="47" ht="15">
      <c r="B47" s="399"/>
    </row>
    <row r="48" ht="15">
      <c r="B48" s="399"/>
    </row>
    <row r="49" ht="15">
      <c r="B49" s="399"/>
    </row>
    <row r="50" ht="15">
      <c r="B50" s="399"/>
    </row>
    <row r="51" ht="15">
      <c r="B51" s="399"/>
    </row>
    <row r="52" ht="15">
      <c r="B52" s="399"/>
    </row>
    <row r="53" ht="15">
      <c r="B53" s="399"/>
    </row>
    <row r="54" ht="15">
      <c r="B54" s="399"/>
    </row>
    <row r="55" ht="15">
      <c r="B55" s="399"/>
    </row>
    <row r="56" ht="15">
      <c r="B56" s="399"/>
    </row>
    <row r="57" ht="15">
      <c r="B57" s="399"/>
    </row>
    <row r="58" ht="15">
      <c r="B58" s="399"/>
    </row>
    <row r="59" ht="15">
      <c r="B59" s="399"/>
    </row>
    <row r="60" ht="15">
      <c r="B60" s="399"/>
    </row>
    <row r="61" ht="15">
      <c r="B61" s="399"/>
    </row>
    <row r="62" ht="15">
      <c r="B62" s="399"/>
    </row>
    <row r="63" ht="15">
      <c r="B63" s="399"/>
    </row>
    <row r="64" ht="15">
      <c r="B64" s="399"/>
    </row>
    <row r="65" ht="15">
      <c r="B65" s="399"/>
    </row>
    <row r="66" ht="15">
      <c r="B66" s="399"/>
    </row>
    <row r="67" ht="15">
      <c r="B67" s="399"/>
    </row>
    <row r="68" ht="15">
      <c r="B68" s="399"/>
    </row>
    <row r="69" ht="15">
      <c r="B69" s="399"/>
    </row>
    <row r="70" ht="15">
      <c r="B70" s="399"/>
    </row>
    <row r="71" ht="15">
      <c r="B71" s="399"/>
    </row>
    <row r="72" ht="15">
      <c r="B72" s="399"/>
    </row>
    <row r="73" ht="15">
      <c r="B73" s="399"/>
    </row>
    <row r="74" ht="15">
      <c r="B74" s="399"/>
    </row>
    <row r="75" ht="15">
      <c r="B75" s="399"/>
    </row>
    <row r="76" ht="15">
      <c r="B76" s="399"/>
    </row>
    <row r="77" ht="15">
      <c r="B77" s="399"/>
    </row>
    <row r="78" ht="15">
      <c r="B78" s="399"/>
    </row>
    <row r="79" ht="15">
      <c r="B79" s="399"/>
    </row>
    <row r="80" ht="15">
      <c r="B80" s="399"/>
    </row>
    <row r="81" ht="15">
      <c r="B81" s="399"/>
    </row>
    <row r="82" ht="15">
      <c r="B82" s="399"/>
    </row>
    <row r="109" ht="16.5">
      <c r="A109" s="398"/>
    </row>
  </sheetData>
  <sheetProtection/>
  <mergeCells count="1">
    <mergeCell ref="B3:J3"/>
  </mergeCells>
  <printOptions horizontalCentered="1"/>
  <pageMargins left="0.35" right="0.25" top="0.38" bottom="0.31" header="0.39" footer="0.27"/>
  <pageSetup fitToHeight="1" fitToWidth="1"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zoomScalePageLayoutView="0" workbookViewId="0" topLeftCell="A1">
      <selection activeCell="H49" sqref="H49"/>
    </sheetView>
  </sheetViews>
  <sheetFormatPr defaultColWidth="9.140625" defaultRowHeight="12.75"/>
  <cols>
    <col min="1" max="1" width="43.57421875" style="65" customWidth="1"/>
    <col min="2" max="2" width="36.140625" style="65" customWidth="1"/>
    <col min="3" max="16384" width="9.140625" style="65" customWidth="1"/>
  </cols>
  <sheetData>
    <row r="1" spans="1:2" ht="35.25" customHeight="1">
      <c r="A1" s="439" t="s">
        <v>544</v>
      </c>
      <c r="B1" s="439"/>
    </row>
    <row r="2" ht="15.75" thickBot="1"/>
    <row r="3" spans="1:2" s="66" customFormat="1" ht="12.75">
      <c r="A3" s="161" t="s">
        <v>190</v>
      </c>
      <c r="B3" s="162"/>
    </row>
    <row r="4" spans="1:2" s="66" customFormat="1" ht="12.75">
      <c r="A4" s="173" t="s">
        <v>191</v>
      </c>
      <c r="B4" s="174">
        <v>40</v>
      </c>
    </row>
    <row r="5" spans="1:2" s="66" customFormat="1" ht="12.75">
      <c r="A5" s="173" t="s">
        <v>346</v>
      </c>
      <c r="B5" s="153" t="s">
        <v>347</v>
      </c>
    </row>
    <row r="6" spans="1:2" s="66" customFormat="1" ht="12.75">
      <c r="A6" s="152" t="s">
        <v>387</v>
      </c>
      <c r="B6" s="176" t="s">
        <v>349</v>
      </c>
    </row>
    <row r="7" spans="1:2" s="66" customFormat="1" ht="12.75">
      <c r="A7" s="156" t="s">
        <v>192</v>
      </c>
      <c r="B7" s="171"/>
    </row>
    <row r="8" spans="1:2" s="66" customFormat="1" ht="12.75">
      <c r="A8" s="152" t="s">
        <v>163</v>
      </c>
      <c r="B8" s="153" t="s">
        <v>210</v>
      </c>
    </row>
    <row r="9" spans="1:2" s="66" customFormat="1" ht="12.75">
      <c r="A9" s="152" t="s">
        <v>348</v>
      </c>
      <c r="B9" s="176" t="s">
        <v>180</v>
      </c>
    </row>
    <row r="10" spans="1:2" s="66" customFormat="1" ht="12.75">
      <c r="A10" s="156" t="s">
        <v>194</v>
      </c>
      <c r="B10" s="157"/>
    </row>
    <row r="11" spans="1:2" s="66" customFormat="1" ht="12.75">
      <c r="A11" s="152" t="s">
        <v>430</v>
      </c>
      <c r="B11" s="176" t="s">
        <v>429</v>
      </c>
    </row>
    <row r="12" spans="1:2" s="66" customFormat="1" ht="12.75">
      <c r="A12" s="152" t="s">
        <v>348</v>
      </c>
      <c r="B12" s="176" t="s">
        <v>180</v>
      </c>
    </row>
    <row r="13" spans="1:2" s="66" customFormat="1" ht="12.75">
      <c r="A13" s="156" t="s">
        <v>195</v>
      </c>
      <c r="B13" s="157"/>
    </row>
    <row r="14" spans="1:2" s="66" customFormat="1" ht="12.75" customHeight="1" hidden="1">
      <c r="A14" s="152" t="s">
        <v>160</v>
      </c>
      <c r="B14" s="153" t="s">
        <v>196</v>
      </c>
    </row>
    <row r="15" spans="1:2" s="66" customFormat="1" ht="12.75">
      <c r="A15" s="152" t="s">
        <v>163</v>
      </c>
      <c r="B15" s="153" t="s">
        <v>286</v>
      </c>
    </row>
    <row r="16" spans="1:2" s="66" customFormat="1" ht="12.75">
      <c r="A16" s="152" t="s">
        <v>348</v>
      </c>
      <c r="B16" s="176" t="s">
        <v>349</v>
      </c>
    </row>
    <row r="17" spans="1:2" s="66" customFormat="1" ht="12.75">
      <c r="A17" s="156" t="s">
        <v>197</v>
      </c>
      <c r="B17" s="157"/>
    </row>
    <row r="18" spans="1:2" s="66" customFormat="1" ht="12.75">
      <c r="A18" s="154" t="s">
        <v>411</v>
      </c>
      <c r="B18" s="170" t="s">
        <v>349</v>
      </c>
    </row>
    <row r="19" spans="1:2" s="66" customFormat="1" ht="12.75">
      <c r="A19" s="156" t="s">
        <v>428</v>
      </c>
      <c r="B19" s="157"/>
    </row>
    <row r="20" spans="1:2" s="66" customFormat="1" ht="12.75">
      <c r="A20" s="152" t="s">
        <v>163</v>
      </c>
      <c r="B20" s="153" t="s">
        <v>490</v>
      </c>
    </row>
    <row r="21" spans="1:2" s="66" customFormat="1" ht="12.75">
      <c r="A21" s="152" t="s">
        <v>348</v>
      </c>
      <c r="B21" s="160" t="s">
        <v>268</v>
      </c>
    </row>
    <row r="22" spans="1:2" s="66" customFormat="1" ht="12.75">
      <c r="A22" s="152" t="s">
        <v>165</v>
      </c>
      <c r="B22" s="153" t="s">
        <v>170</v>
      </c>
    </row>
    <row r="23" spans="1:2" s="66" customFormat="1" ht="12.75">
      <c r="A23" s="156" t="s">
        <v>198</v>
      </c>
      <c r="B23" s="157"/>
    </row>
    <row r="24" spans="1:2" s="66" customFormat="1" ht="12.75" hidden="1">
      <c r="A24" s="152" t="s">
        <v>165</v>
      </c>
      <c r="B24" s="153" t="s">
        <v>170</v>
      </c>
    </row>
    <row r="25" spans="1:2" s="66" customFormat="1" ht="12.75">
      <c r="A25" s="152" t="s">
        <v>163</v>
      </c>
      <c r="B25" s="153" t="s">
        <v>540</v>
      </c>
    </row>
    <row r="26" spans="1:2" s="66" customFormat="1" ht="12.75" hidden="1">
      <c r="A26" s="154" t="s">
        <v>167</v>
      </c>
      <c r="B26" s="155">
        <v>10</v>
      </c>
    </row>
    <row r="27" spans="1:2" s="66" customFormat="1" ht="12.75">
      <c r="A27" s="152" t="s">
        <v>387</v>
      </c>
      <c r="B27" s="176" t="s">
        <v>389</v>
      </c>
    </row>
    <row r="28" spans="1:2" s="66" customFormat="1" ht="12.75">
      <c r="A28" s="156" t="s">
        <v>199</v>
      </c>
      <c r="B28" s="157"/>
    </row>
    <row r="29" spans="1:2" s="66" customFormat="1" ht="12.75">
      <c r="A29" s="173" t="s">
        <v>163</v>
      </c>
      <c r="B29" s="176" t="s">
        <v>349</v>
      </c>
    </row>
    <row r="30" spans="1:2" s="66" customFormat="1" ht="12.75">
      <c r="A30" s="168" t="s">
        <v>167</v>
      </c>
      <c r="B30" s="169">
        <v>10</v>
      </c>
    </row>
    <row r="31" spans="1:2" s="66" customFormat="1" ht="12.75">
      <c r="A31" s="156" t="s">
        <v>200</v>
      </c>
      <c r="B31" s="157"/>
    </row>
    <row r="32" spans="1:2" s="23" customFormat="1" ht="12.75">
      <c r="A32" s="152" t="s">
        <v>430</v>
      </c>
      <c r="B32" s="176" t="s">
        <v>429</v>
      </c>
    </row>
    <row r="33" spans="1:2" s="66" customFormat="1" ht="12.75">
      <c r="A33" s="152" t="s">
        <v>165</v>
      </c>
      <c r="B33" s="153" t="s">
        <v>170</v>
      </c>
    </row>
    <row r="34" spans="1:2" s="66" customFormat="1" ht="12.75" hidden="1">
      <c r="A34" s="152" t="s">
        <v>163</v>
      </c>
      <c r="B34" s="153" t="s">
        <v>287</v>
      </c>
    </row>
    <row r="35" spans="1:2" s="66" customFormat="1" ht="12.75">
      <c r="A35" s="154" t="s">
        <v>167</v>
      </c>
      <c r="B35" s="155">
        <v>100</v>
      </c>
    </row>
    <row r="36" spans="1:2" s="66" customFormat="1" ht="12.75">
      <c r="A36" s="156" t="s">
        <v>201</v>
      </c>
      <c r="B36" s="158"/>
    </row>
    <row r="37" spans="1:2" s="66" customFormat="1" ht="12.75">
      <c r="A37" s="173" t="s">
        <v>163</v>
      </c>
      <c r="B37" s="177" t="s">
        <v>431</v>
      </c>
    </row>
    <row r="38" spans="1:2" s="66" customFormat="1" ht="12.75">
      <c r="A38" s="173" t="s">
        <v>348</v>
      </c>
      <c r="B38" s="177" t="s">
        <v>431</v>
      </c>
    </row>
    <row r="39" spans="1:2" s="66" customFormat="1" ht="12.75">
      <c r="A39" s="168" t="s">
        <v>432</v>
      </c>
      <c r="B39" s="177" t="s">
        <v>433</v>
      </c>
    </row>
    <row r="40" spans="1:2" s="66" customFormat="1" ht="12.75">
      <c r="A40" s="156" t="s">
        <v>202</v>
      </c>
      <c r="B40" s="157"/>
    </row>
    <row r="41" spans="1:2" s="23" customFormat="1" ht="12.75">
      <c r="A41" s="173" t="s">
        <v>441</v>
      </c>
      <c r="B41" s="174" t="s">
        <v>429</v>
      </c>
    </row>
    <row r="42" spans="1:2" s="66" customFormat="1" ht="12.75">
      <c r="A42" s="156" t="s">
        <v>203</v>
      </c>
      <c r="B42" s="159"/>
    </row>
    <row r="43" spans="1:2" s="23" customFormat="1" ht="12.75">
      <c r="A43" s="173" t="s">
        <v>163</v>
      </c>
      <c r="B43" s="175" t="s">
        <v>268</v>
      </c>
    </row>
    <row r="44" spans="1:2" s="66" customFormat="1" ht="12.75">
      <c r="A44" s="173" t="s">
        <v>162</v>
      </c>
      <c r="B44" s="174">
        <v>10</v>
      </c>
    </row>
    <row r="45" spans="1:2" s="66" customFormat="1" ht="12.75">
      <c r="A45" s="173" t="s">
        <v>167</v>
      </c>
      <c r="B45" s="174">
        <v>5</v>
      </c>
    </row>
    <row r="46" spans="1:2" s="66" customFormat="1" ht="12.75">
      <c r="A46" s="168" t="s">
        <v>434</v>
      </c>
      <c r="B46" s="169" t="s">
        <v>491</v>
      </c>
    </row>
    <row r="47" spans="1:2" s="66" customFormat="1" ht="12.75" customHeight="1">
      <c r="A47" s="156" t="s">
        <v>204</v>
      </c>
      <c r="B47" s="157"/>
    </row>
    <row r="48" spans="1:2" s="66" customFormat="1" ht="12.75" customHeight="1" hidden="1">
      <c r="A48" s="173" t="s">
        <v>165</v>
      </c>
      <c r="B48" s="176" t="s">
        <v>170</v>
      </c>
    </row>
    <row r="49" spans="1:2" s="66" customFormat="1" ht="12.75" customHeight="1">
      <c r="A49" s="173" t="s">
        <v>163</v>
      </c>
      <c r="B49" s="176" t="s">
        <v>288</v>
      </c>
    </row>
    <row r="50" spans="1:2" s="66" customFormat="1" ht="12.75" customHeight="1">
      <c r="A50" s="173" t="s">
        <v>435</v>
      </c>
      <c r="B50" s="174" t="s">
        <v>492</v>
      </c>
    </row>
    <row r="51" spans="1:2" s="66" customFormat="1" ht="12.75">
      <c r="A51" s="156" t="s">
        <v>205</v>
      </c>
      <c r="B51" s="172"/>
    </row>
    <row r="52" spans="1:2" s="66" customFormat="1" ht="12.75">
      <c r="A52" s="173" t="s">
        <v>179</v>
      </c>
      <c r="B52" s="174" t="s">
        <v>493</v>
      </c>
    </row>
    <row r="53" spans="1:2" s="66" customFormat="1" ht="12.75">
      <c r="A53" s="173" t="s">
        <v>163</v>
      </c>
      <c r="B53" s="174" t="s">
        <v>166</v>
      </c>
    </row>
    <row r="54" spans="1:2" s="66" customFormat="1" ht="12.75" customHeight="1">
      <c r="A54" s="156" t="s">
        <v>206</v>
      </c>
      <c r="B54" s="159"/>
    </row>
    <row r="55" spans="1:2" s="66" customFormat="1" ht="12.75" customHeight="1">
      <c r="A55" s="173" t="s">
        <v>411</v>
      </c>
      <c r="B55" s="175" t="s">
        <v>268</v>
      </c>
    </row>
    <row r="56" spans="1:2" s="66" customFormat="1" ht="12.75" customHeight="1">
      <c r="A56" s="173" t="s">
        <v>163</v>
      </c>
      <c r="B56" s="176" t="s">
        <v>210</v>
      </c>
    </row>
    <row r="57" spans="1:2" s="66" customFormat="1" ht="12.75">
      <c r="A57" s="156" t="s">
        <v>207</v>
      </c>
      <c r="B57" s="157"/>
    </row>
    <row r="58" spans="1:2" s="66" customFormat="1" ht="12.75">
      <c r="A58" s="173" t="s">
        <v>163</v>
      </c>
      <c r="B58" s="174" t="s">
        <v>520</v>
      </c>
    </row>
    <row r="59" spans="1:2" s="66" customFormat="1" ht="12.75">
      <c r="A59" s="156" t="s">
        <v>208</v>
      </c>
      <c r="B59" s="158"/>
    </row>
    <row r="60" spans="1:2" s="23" customFormat="1" ht="12.75">
      <c r="A60" s="173" t="s">
        <v>163</v>
      </c>
      <c r="B60" s="176" t="s">
        <v>438</v>
      </c>
    </row>
    <row r="61" spans="1:2" s="23" customFormat="1" ht="12.75">
      <c r="A61" s="173" t="s">
        <v>494</v>
      </c>
      <c r="B61" s="176" t="s">
        <v>349</v>
      </c>
    </row>
    <row r="62" spans="1:2" s="66" customFormat="1" ht="12.75" customHeight="1">
      <c r="A62" s="173" t="s">
        <v>165</v>
      </c>
      <c r="B62" s="175" t="s">
        <v>436</v>
      </c>
    </row>
    <row r="63" spans="1:2" s="66" customFormat="1" ht="12.75" hidden="1">
      <c r="A63" s="168" t="s">
        <v>167</v>
      </c>
      <c r="B63" s="178">
        <v>5</v>
      </c>
    </row>
    <row r="64" spans="1:2" s="66" customFormat="1" ht="12.75">
      <c r="A64" s="156" t="s">
        <v>209</v>
      </c>
      <c r="B64" s="157"/>
    </row>
    <row r="65" spans="1:2" s="66" customFormat="1" ht="12.75" hidden="1">
      <c r="A65" s="152" t="s">
        <v>165</v>
      </c>
      <c r="B65" s="153" t="s">
        <v>546</v>
      </c>
    </row>
    <row r="66" spans="1:2" s="66" customFormat="1" ht="12.75">
      <c r="A66" s="173" t="s">
        <v>163</v>
      </c>
      <c r="B66" s="176" t="s">
        <v>547</v>
      </c>
    </row>
    <row r="67" spans="1:2" s="66" customFormat="1" ht="12.75">
      <c r="A67" s="152" t="s">
        <v>494</v>
      </c>
      <c r="B67" s="153" t="s">
        <v>210</v>
      </c>
    </row>
    <row r="68" spans="1:2" s="66" customFormat="1" ht="12.75">
      <c r="A68" s="156" t="s">
        <v>211</v>
      </c>
      <c r="B68" s="158"/>
    </row>
    <row r="69" spans="1:2" s="66" customFormat="1" ht="12.75" customHeight="1">
      <c r="A69" s="173" t="s">
        <v>165</v>
      </c>
      <c r="B69" s="175" t="s">
        <v>495</v>
      </c>
    </row>
    <row r="70" spans="1:2" s="66" customFormat="1" ht="12.75" customHeight="1">
      <c r="A70" s="173" t="s">
        <v>167</v>
      </c>
      <c r="B70" s="178">
        <v>25</v>
      </c>
    </row>
    <row r="71" spans="1:2" s="66" customFormat="1" ht="12.75">
      <c r="A71" s="173" t="s">
        <v>494</v>
      </c>
      <c r="B71" s="175" t="s">
        <v>349</v>
      </c>
    </row>
    <row r="72" spans="1:2" s="66" customFormat="1" ht="12.75">
      <c r="A72" s="156" t="s">
        <v>212</v>
      </c>
      <c r="B72" s="157"/>
    </row>
    <row r="73" spans="1:2" s="66" customFormat="1" ht="12.75">
      <c r="A73" s="152" t="s">
        <v>163</v>
      </c>
      <c r="B73" s="153" t="s">
        <v>268</v>
      </c>
    </row>
    <row r="74" spans="1:2" s="66" customFormat="1" ht="12.75" hidden="1">
      <c r="A74" s="154" t="s">
        <v>167</v>
      </c>
      <c r="B74" s="155">
        <v>25</v>
      </c>
    </row>
    <row r="75" spans="1:2" s="66" customFormat="1" ht="12.75" customHeight="1">
      <c r="A75" s="156" t="s">
        <v>213</v>
      </c>
      <c r="B75" s="157"/>
    </row>
    <row r="76" spans="1:2" s="66" customFormat="1" ht="12.75">
      <c r="A76" s="173" t="s">
        <v>163</v>
      </c>
      <c r="B76" s="174" t="s">
        <v>193</v>
      </c>
    </row>
    <row r="77" spans="1:2" s="66" customFormat="1" ht="12.75">
      <c r="A77" s="173" t="s">
        <v>187</v>
      </c>
      <c r="B77" s="174" t="s">
        <v>289</v>
      </c>
    </row>
    <row r="78" spans="1:2" s="66" customFormat="1" ht="12.75">
      <c r="A78" s="298" t="s">
        <v>437</v>
      </c>
      <c r="B78" s="174" t="s">
        <v>440</v>
      </c>
    </row>
    <row r="79" spans="1:2" s="66" customFormat="1" ht="12.75">
      <c r="A79" s="156" t="s">
        <v>214</v>
      </c>
      <c r="B79" s="157"/>
    </row>
    <row r="80" spans="1:2" s="23" customFormat="1" ht="13.5" thickBot="1">
      <c r="A80" s="250" t="s">
        <v>163</v>
      </c>
      <c r="B80" s="301" t="s">
        <v>439</v>
      </c>
    </row>
    <row r="81" s="66" customFormat="1" ht="12.75">
      <c r="A81" s="302" t="str">
        <f ca="1">CELL("filename")</f>
        <v>S:\IF_Admin\SERIES 18 - Tuition and Fees\SUMMARIES\14-15\[2014-15 Tuition and Fees_summary.xls]4 YR</v>
      </c>
    </row>
    <row r="82" ht="15">
      <c r="B82" s="69"/>
    </row>
    <row r="83" s="70" customFormat="1" ht="14.25">
      <c r="A83" s="70" t="s">
        <v>215</v>
      </c>
    </row>
    <row r="84" spans="1:2" s="70" customFormat="1" ht="29.25" customHeight="1">
      <c r="A84" s="445" t="s">
        <v>189</v>
      </c>
      <c r="B84" s="445"/>
    </row>
    <row r="109" ht="16.5">
      <c r="A109" s="398"/>
    </row>
  </sheetData>
  <sheetProtection/>
  <mergeCells count="2">
    <mergeCell ref="A1:B1"/>
    <mergeCell ref="A84:B84"/>
  </mergeCells>
  <printOptions horizontalCentered="1"/>
  <pageMargins left="0.35" right="0.25" top="0.38" bottom="0.31" header="0.22" footer="0.27"/>
  <pageSetup fitToHeight="1" fitToWidth="1" horizontalDpi="600" verticalDpi="600" orientation="portrait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9"/>
  <sheetViews>
    <sheetView tabSelected="1" showOutlineSymbols="0" zoomScaleSheetLayoutView="100" zoomScalePageLayoutView="0" workbookViewId="0" topLeftCell="A1">
      <selection activeCell="H49" sqref="H49"/>
    </sheetView>
  </sheetViews>
  <sheetFormatPr defaultColWidth="8.7109375" defaultRowHeight="12.75"/>
  <cols>
    <col min="1" max="1" width="9.28125" style="30" customWidth="1"/>
    <col min="2" max="4" width="7.57421875" style="30" hidden="1" customWidth="1"/>
    <col min="5" max="5" width="8.140625" style="30" hidden="1" customWidth="1"/>
    <col min="6" max="6" width="7.57421875" style="30" hidden="1" customWidth="1"/>
    <col min="7" max="7" width="8.28125" style="30" hidden="1" customWidth="1"/>
    <col min="8" max="13" width="9.28125" style="30" hidden="1" customWidth="1"/>
    <col min="14" max="14" width="9.28125" style="33" hidden="1" customWidth="1"/>
    <col min="15" max="24" width="9.28125" style="33" customWidth="1"/>
    <col min="25" max="25" width="8.28125" style="33" bestFit="1" customWidth="1"/>
    <col min="26" max="29" width="6.00390625" style="33" bestFit="1" customWidth="1"/>
    <col min="30" max="30" width="6.57421875" style="33" bestFit="1" customWidth="1"/>
    <col min="31" max="38" width="6.00390625" style="33" bestFit="1" customWidth="1"/>
    <col min="39" max="40" width="6.140625" style="33" bestFit="1" customWidth="1"/>
    <col min="41" max="41" width="6.28125" style="33" bestFit="1" customWidth="1"/>
    <col min="42" max="16384" width="8.7109375" style="30" customWidth="1"/>
  </cols>
  <sheetData>
    <row r="1" spans="1:41" ht="15.75">
      <c r="A1" s="28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12.75">
      <c r="A2" s="29" t="s">
        <v>545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41" ht="15.75" thickBot="1">
      <c r="A4" s="31" t="s">
        <v>96</v>
      </c>
      <c r="H4" s="32"/>
      <c r="K4" s="33"/>
      <c r="L4" s="33"/>
      <c r="M4" s="33"/>
      <c r="N4" s="163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</row>
    <row r="5" spans="1:41" ht="12.75">
      <c r="A5" s="34" t="s">
        <v>32</v>
      </c>
      <c r="B5" s="318" t="s">
        <v>97</v>
      </c>
      <c r="C5" s="318" t="s">
        <v>98</v>
      </c>
      <c r="D5" s="183" t="s">
        <v>99</v>
      </c>
      <c r="E5" s="183" t="s">
        <v>100</v>
      </c>
      <c r="F5" s="183" t="s">
        <v>101</v>
      </c>
      <c r="G5" s="183" t="s">
        <v>102</v>
      </c>
      <c r="H5" s="183" t="s">
        <v>103</v>
      </c>
      <c r="I5" s="183" t="s">
        <v>104</v>
      </c>
      <c r="J5" s="183" t="s">
        <v>105</v>
      </c>
      <c r="K5" s="183" t="s">
        <v>106</v>
      </c>
      <c r="L5" s="183" t="s">
        <v>95</v>
      </c>
      <c r="M5" s="183" t="s">
        <v>92</v>
      </c>
      <c r="N5" s="183" t="s">
        <v>93</v>
      </c>
      <c r="O5" s="183" t="s">
        <v>270</v>
      </c>
      <c r="P5" s="183" t="s">
        <v>304</v>
      </c>
      <c r="Q5" s="183" t="s">
        <v>308</v>
      </c>
      <c r="R5" s="183" t="s">
        <v>328</v>
      </c>
      <c r="S5" s="183" t="s">
        <v>341</v>
      </c>
      <c r="T5" s="183" t="s">
        <v>357</v>
      </c>
      <c r="U5" s="183" t="s">
        <v>373</v>
      </c>
      <c r="V5" s="183" t="s">
        <v>391</v>
      </c>
      <c r="W5" s="183" t="s">
        <v>442</v>
      </c>
      <c r="X5" s="299" t="s">
        <v>513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</row>
    <row r="6" spans="1:41" ht="18" customHeight="1">
      <c r="A6" s="35" t="s">
        <v>4</v>
      </c>
      <c r="B6" s="33">
        <v>1852</v>
      </c>
      <c r="C6" s="33">
        <v>1914</v>
      </c>
      <c r="D6" s="33">
        <v>2054</v>
      </c>
      <c r="E6" s="33">
        <v>2190</v>
      </c>
      <c r="F6" s="33">
        <v>2518</v>
      </c>
      <c r="G6" s="33">
        <v>2816</v>
      </c>
      <c r="H6" s="33">
        <v>3181</v>
      </c>
      <c r="I6" s="313">
        <v>3466</v>
      </c>
      <c r="J6" s="33">
        <v>3867</v>
      </c>
      <c r="K6" s="33">
        <v>4158</v>
      </c>
      <c r="L6" s="33">
        <v>4456</v>
      </c>
      <c r="M6" s="33">
        <v>4768</v>
      </c>
      <c r="N6" s="33">
        <v>5135</v>
      </c>
      <c r="O6" s="33">
        <v>5495</v>
      </c>
      <c r="P6" s="33">
        <v>5808</v>
      </c>
      <c r="Q6" s="33">
        <v>6038</v>
      </c>
      <c r="R6" s="33">
        <v>6399</v>
      </c>
      <c r="S6" s="33">
        <v>6459</v>
      </c>
      <c r="T6" s="245">
        <v>6767</v>
      </c>
      <c r="U6" s="245">
        <v>7173</v>
      </c>
      <c r="V6" s="245">
        <v>7553</v>
      </c>
      <c r="W6" s="245">
        <v>7818</v>
      </c>
      <c r="X6" s="213">
        <f>'4 YR'!I27</f>
        <v>8208.3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ht="18" customHeight="1">
      <c r="A7" s="35" t="s">
        <v>80</v>
      </c>
      <c r="B7" s="33">
        <v>1620</v>
      </c>
      <c r="C7" s="33">
        <v>1990</v>
      </c>
      <c r="D7" s="33">
        <v>1930</v>
      </c>
      <c r="E7" s="33">
        <v>1970</v>
      </c>
      <c r="F7" s="33">
        <v>1970</v>
      </c>
      <c r="G7" s="33">
        <v>2280</v>
      </c>
      <c r="H7" s="33">
        <v>2804</v>
      </c>
      <c r="I7" s="313">
        <v>2972</v>
      </c>
      <c r="J7" s="33">
        <v>3046</v>
      </c>
      <c r="K7" s="33">
        <v>4270</v>
      </c>
      <c r="L7" s="33">
        <v>4480</v>
      </c>
      <c r="M7" s="33">
        <v>4810</v>
      </c>
      <c r="N7" s="33">
        <v>5155</v>
      </c>
      <c r="O7" s="33">
        <v>5440</v>
      </c>
      <c r="P7" s="33">
        <v>5710</v>
      </c>
      <c r="Q7" s="33">
        <v>6010</v>
      </c>
      <c r="R7" s="33">
        <v>6370</v>
      </c>
      <c r="S7" s="33">
        <v>6370</v>
      </c>
      <c r="T7" s="245">
        <v>6640</v>
      </c>
      <c r="U7" s="245">
        <v>6934</v>
      </c>
      <c r="V7" s="245">
        <v>7180</v>
      </c>
      <c r="W7" s="245">
        <v>7510</v>
      </c>
      <c r="X7" s="213">
        <f>'4 YR'!I8</f>
        <v>7720</v>
      </c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ht="18" customHeight="1">
      <c r="A8" s="35" t="s">
        <v>5</v>
      </c>
      <c r="B8" s="389">
        <v>1912</v>
      </c>
      <c r="C8" s="33">
        <v>2054</v>
      </c>
      <c r="D8" s="33">
        <v>2316</v>
      </c>
      <c r="E8" s="33">
        <v>2394</v>
      </c>
      <c r="F8" s="33">
        <v>2538</v>
      </c>
      <c r="G8" s="33">
        <v>2607</v>
      </c>
      <c r="H8" s="33">
        <v>3270</v>
      </c>
      <c r="I8" s="313">
        <v>3525</v>
      </c>
      <c r="J8" s="33">
        <v>3660</v>
      </c>
      <c r="K8" s="33">
        <v>3893</v>
      </c>
      <c r="L8" s="33">
        <v>4208</v>
      </c>
      <c r="M8" s="33">
        <v>4598</v>
      </c>
      <c r="N8" s="33">
        <v>4957</v>
      </c>
      <c r="O8" s="33">
        <v>5243</v>
      </c>
      <c r="P8" s="33">
        <v>5511</v>
      </c>
      <c r="Q8" s="33">
        <v>5740</v>
      </c>
      <c r="R8" s="33">
        <v>6121</v>
      </c>
      <c r="S8" s="33">
        <v>6330.9</v>
      </c>
      <c r="T8" s="245">
        <v>6642</v>
      </c>
      <c r="U8" s="245">
        <v>7040</v>
      </c>
      <c r="V8" s="245">
        <v>7343</v>
      </c>
      <c r="W8" s="245">
        <v>7601</v>
      </c>
      <c r="X8" s="213">
        <f>'4 YR'!I49</f>
        <v>8045</v>
      </c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8" customHeight="1">
      <c r="A9" s="35" t="s">
        <v>8</v>
      </c>
      <c r="B9" s="389">
        <v>1546</v>
      </c>
      <c r="C9" s="33">
        <v>1700</v>
      </c>
      <c r="D9" s="33">
        <v>2000</v>
      </c>
      <c r="E9" s="33">
        <v>2010</v>
      </c>
      <c r="F9" s="33">
        <v>2392</v>
      </c>
      <c r="G9" s="33">
        <v>2692</v>
      </c>
      <c r="H9" s="33">
        <v>3038</v>
      </c>
      <c r="I9" s="313">
        <v>3240</v>
      </c>
      <c r="J9" s="33">
        <v>3402</v>
      </c>
      <c r="K9" s="33">
        <v>3738</v>
      </c>
      <c r="L9" s="33">
        <v>3990</v>
      </c>
      <c r="M9" s="33">
        <v>4505</v>
      </c>
      <c r="N9" s="33">
        <v>5053</v>
      </c>
      <c r="O9" s="33">
        <v>5755</v>
      </c>
      <c r="P9" s="33">
        <v>6010</v>
      </c>
      <c r="Q9" s="33">
        <v>6215</v>
      </c>
      <c r="R9" s="33">
        <v>6505</v>
      </c>
      <c r="S9" s="33">
        <v>6698</v>
      </c>
      <c r="T9" s="245">
        <v>6908</v>
      </c>
      <c r="U9" s="245">
        <v>7183</v>
      </c>
      <c r="V9" s="245">
        <v>7332</v>
      </c>
      <c r="W9" s="245">
        <v>7595</v>
      </c>
      <c r="X9" s="213">
        <f>'4 YR'!I90</f>
        <v>7888.8</v>
      </c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41" ht="18" customHeight="1">
      <c r="A10" s="35" t="s">
        <v>1</v>
      </c>
      <c r="B10" s="389">
        <v>1560</v>
      </c>
      <c r="C10" s="33">
        <v>1710</v>
      </c>
      <c r="D10" s="33">
        <v>1810</v>
      </c>
      <c r="E10" s="33">
        <v>1910</v>
      </c>
      <c r="F10" s="33">
        <v>1992</v>
      </c>
      <c r="G10" s="33">
        <v>2126</v>
      </c>
      <c r="H10" s="33">
        <v>2288</v>
      </c>
      <c r="I10" s="313">
        <v>2462</v>
      </c>
      <c r="J10" s="33">
        <v>2768</v>
      </c>
      <c r="K10" s="33">
        <v>2966</v>
      </c>
      <c r="L10" s="33">
        <v>3256</v>
      </c>
      <c r="M10" s="33">
        <v>3820</v>
      </c>
      <c r="N10" s="33">
        <v>4468</v>
      </c>
      <c r="O10" s="33">
        <v>4700</v>
      </c>
      <c r="P10" s="33">
        <v>4880</v>
      </c>
      <c r="Q10" s="33">
        <v>5120</v>
      </c>
      <c r="R10" s="33">
        <v>5430</v>
      </c>
      <c r="S10" s="33">
        <v>5610</v>
      </c>
      <c r="T10" s="245">
        <v>5908</v>
      </c>
      <c r="U10" s="245">
        <v>6258</v>
      </c>
      <c r="V10" s="245">
        <v>6528</v>
      </c>
      <c r="W10" s="245">
        <v>6918</v>
      </c>
      <c r="X10" s="213">
        <f>'4 YR'!I14</f>
        <v>7248</v>
      </c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41" ht="18" customHeight="1">
      <c r="A11" s="35" t="s">
        <v>2</v>
      </c>
      <c r="B11" s="389">
        <v>1500</v>
      </c>
      <c r="C11" s="33">
        <v>1628</v>
      </c>
      <c r="D11" s="33">
        <v>1888</v>
      </c>
      <c r="E11" s="33">
        <v>2004</v>
      </c>
      <c r="F11" s="33">
        <v>2022</v>
      </c>
      <c r="G11" s="33">
        <v>2156</v>
      </c>
      <c r="H11" s="33">
        <v>2736</v>
      </c>
      <c r="I11" s="313">
        <v>2736</v>
      </c>
      <c r="J11" s="33">
        <v>2795</v>
      </c>
      <c r="K11" s="33">
        <v>3029</v>
      </c>
      <c r="L11" s="33">
        <v>3252</v>
      </c>
      <c r="M11" s="33">
        <v>3851</v>
      </c>
      <c r="N11" s="33">
        <v>4168</v>
      </c>
      <c r="O11" s="33">
        <v>4645</v>
      </c>
      <c r="P11" s="33">
        <v>5210</v>
      </c>
      <c r="Q11" s="33">
        <v>5689</v>
      </c>
      <c r="R11" s="33">
        <v>6024</v>
      </c>
      <c r="S11" s="33">
        <v>6203.5</v>
      </c>
      <c r="T11" s="245">
        <v>6444</v>
      </c>
      <c r="U11" s="245">
        <v>6714</v>
      </c>
      <c r="V11" s="245">
        <v>6984</v>
      </c>
      <c r="W11" s="245">
        <v>7284</v>
      </c>
      <c r="X11" s="213">
        <f>'4 YR'!I19</f>
        <v>7561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spans="1:41" ht="18" customHeight="1">
      <c r="A12" s="35" t="s">
        <v>3</v>
      </c>
      <c r="B12" s="389">
        <v>1380</v>
      </c>
      <c r="C12" s="33">
        <v>1528</v>
      </c>
      <c r="D12" s="33">
        <v>1662</v>
      </c>
      <c r="E12" s="33">
        <v>1750</v>
      </c>
      <c r="F12" s="33">
        <v>1822</v>
      </c>
      <c r="G12" s="33">
        <v>1918</v>
      </c>
      <c r="H12" s="33">
        <v>2062</v>
      </c>
      <c r="I12" s="313">
        <v>2252</v>
      </c>
      <c r="J12" s="33">
        <v>2484</v>
      </c>
      <c r="K12" s="33">
        <v>2706</v>
      </c>
      <c r="L12" s="33">
        <v>3054</v>
      </c>
      <c r="M12" s="33">
        <v>3550</v>
      </c>
      <c r="N12" s="33">
        <v>3858</v>
      </c>
      <c r="O12" s="33">
        <v>4290</v>
      </c>
      <c r="P12" s="33">
        <v>4890</v>
      </c>
      <c r="Q12" s="33">
        <v>5224</v>
      </c>
      <c r="R12" s="33">
        <v>5646</v>
      </c>
      <c r="S12" s="33">
        <v>6066</v>
      </c>
      <c r="T12" s="245">
        <v>6426</v>
      </c>
      <c r="U12" s="245">
        <v>6786</v>
      </c>
      <c r="V12" s="245">
        <v>7146</v>
      </c>
      <c r="W12" s="245">
        <v>7386</v>
      </c>
      <c r="X12" s="213">
        <f>'4 YR'!I23</f>
        <v>7656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41" ht="18" customHeight="1">
      <c r="A13" s="35" t="s">
        <v>83</v>
      </c>
      <c r="B13" s="389"/>
      <c r="C13" s="33"/>
      <c r="D13" s="33"/>
      <c r="E13" s="33"/>
      <c r="F13" s="33"/>
      <c r="G13" s="33"/>
      <c r="H13" s="33"/>
      <c r="I13" s="313"/>
      <c r="J13" s="33"/>
      <c r="K13" s="33"/>
      <c r="L13" s="181">
        <v>2100</v>
      </c>
      <c r="M13" s="181">
        <v>2220</v>
      </c>
      <c r="N13" s="181">
        <v>2430</v>
      </c>
      <c r="O13" s="181">
        <v>2830</v>
      </c>
      <c r="P13" s="33">
        <v>3340</v>
      </c>
      <c r="Q13" s="33">
        <v>4060</v>
      </c>
      <c r="R13" s="33">
        <v>4410</v>
      </c>
      <c r="S13" s="33">
        <v>4600</v>
      </c>
      <c r="T13" s="245">
        <v>4918</v>
      </c>
      <c r="U13" s="245">
        <v>5267</v>
      </c>
      <c r="V13" s="245">
        <v>5436</v>
      </c>
      <c r="W13" s="245">
        <v>5625</v>
      </c>
      <c r="X13" s="213">
        <f>'4 YR'!I47</f>
        <v>5962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1:41" ht="18" customHeight="1">
      <c r="A14" s="35" t="s">
        <v>6</v>
      </c>
      <c r="B14" s="389">
        <v>1500</v>
      </c>
      <c r="C14" s="33">
        <v>1572</v>
      </c>
      <c r="D14" s="33">
        <v>1704</v>
      </c>
      <c r="E14" s="33">
        <v>1786</v>
      </c>
      <c r="F14" s="33">
        <v>1906</v>
      </c>
      <c r="G14" s="33">
        <v>2130</v>
      </c>
      <c r="H14" s="33">
        <v>2330</v>
      </c>
      <c r="I14" s="313">
        <v>2530</v>
      </c>
      <c r="J14" s="33">
        <v>2680</v>
      </c>
      <c r="K14" s="33">
        <v>2935</v>
      </c>
      <c r="L14" s="33">
        <v>3175</v>
      </c>
      <c r="M14" s="33">
        <v>3385</v>
      </c>
      <c r="N14" s="33">
        <v>3625</v>
      </c>
      <c r="O14" s="33">
        <v>3910</v>
      </c>
      <c r="P14" s="33">
        <v>4150</v>
      </c>
      <c r="Q14" s="33">
        <v>4300</v>
      </c>
      <c r="R14" s="33">
        <v>4600</v>
      </c>
      <c r="S14" s="33">
        <v>4750</v>
      </c>
      <c r="T14" s="245">
        <v>4990</v>
      </c>
      <c r="U14" s="245">
        <v>5290</v>
      </c>
      <c r="V14" s="245">
        <v>5560</v>
      </c>
      <c r="W14" s="245">
        <v>5793</v>
      </c>
      <c r="X14" s="213">
        <f>'4 YR'!I59</f>
        <v>6082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</row>
    <row r="15" spans="1:41" ht="18" customHeight="1">
      <c r="A15" s="319" t="s">
        <v>7</v>
      </c>
      <c r="B15" s="390">
        <v>1510</v>
      </c>
      <c r="C15" s="182">
        <v>1548</v>
      </c>
      <c r="D15" s="182">
        <v>1716</v>
      </c>
      <c r="E15" s="182">
        <v>1788</v>
      </c>
      <c r="F15" s="182">
        <v>1860</v>
      </c>
      <c r="G15" s="182">
        <v>2093</v>
      </c>
      <c r="H15" s="182">
        <v>2418</v>
      </c>
      <c r="I15" s="320">
        <v>2560</v>
      </c>
      <c r="J15" s="182">
        <v>3090</v>
      </c>
      <c r="K15" s="182">
        <v>3209</v>
      </c>
      <c r="L15" s="182">
        <v>3458</v>
      </c>
      <c r="M15" s="182">
        <v>3687</v>
      </c>
      <c r="N15" s="182">
        <v>4043</v>
      </c>
      <c r="O15" s="182">
        <v>4254</v>
      </c>
      <c r="P15" s="182">
        <v>4454</v>
      </c>
      <c r="Q15" s="182">
        <v>4499</v>
      </c>
      <c r="R15" s="182">
        <v>4676</v>
      </c>
      <c r="S15" s="182">
        <v>4796</v>
      </c>
      <c r="T15" s="321">
        <v>5033</v>
      </c>
      <c r="U15" s="321">
        <v>5330</v>
      </c>
      <c r="V15" s="321">
        <v>5517</v>
      </c>
      <c r="W15" s="321">
        <v>5754</v>
      </c>
      <c r="X15" s="214">
        <f>'4 YR'!I86</f>
        <v>5956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</row>
    <row r="16" spans="1:41" ht="3.75" customHeight="1">
      <c r="A16" s="35"/>
      <c r="B16" s="389"/>
      <c r="C16" s="33"/>
      <c r="D16" s="33"/>
      <c r="E16" s="33"/>
      <c r="F16" s="33"/>
      <c r="G16" s="33"/>
      <c r="H16" s="33"/>
      <c r="I16" s="313"/>
      <c r="J16" s="33"/>
      <c r="K16" s="33"/>
      <c r="L16" s="33"/>
      <c r="M16" s="33"/>
      <c r="P16" s="30"/>
      <c r="Q16" s="30"/>
      <c r="R16" s="30"/>
      <c r="S16" s="30"/>
      <c r="T16" s="30"/>
      <c r="U16" s="30"/>
      <c r="V16" s="30"/>
      <c r="W16" s="30"/>
      <c r="X16" s="30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ht="13.5" customHeight="1" thickBot="1">
      <c r="A17" s="314" t="s">
        <v>107</v>
      </c>
      <c r="B17" s="391">
        <f aca="true" t="shared" si="0" ref="B17:S17">AVERAGE(B6:B15)</f>
        <v>1597.7777777777778</v>
      </c>
      <c r="C17" s="315">
        <f t="shared" si="0"/>
        <v>1738.2222222222222</v>
      </c>
      <c r="D17" s="315">
        <f t="shared" si="0"/>
        <v>1897.7777777777778</v>
      </c>
      <c r="E17" s="315">
        <f t="shared" si="0"/>
        <v>1978</v>
      </c>
      <c r="F17" s="315">
        <f t="shared" si="0"/>
        <v>2113.3333333333335</v>
      </c>
      <c r="G17" s="315">
        <f t="shared" si="0"/>
        <v>2313.1111111111113</v>
      </c>
      <c r="H17" s="315">
        <f t="shared" si="0"/>
        <v>2680.777777777778</v>
      </c>
      <c r="I17" s="315">
        <f t="shared" si="0"/>
        <v>2860.3333333333335</v>
      </c>
      <c r="J17" s="315">
        <f t="shared" si="0"/>
        <v>3088</v>
      </c>
      <c r="K17" s="315">
        <f t="shared" si="0"/>
        <v>3433.777777777778</v>
      </c>
      <c r="L17" s="315">
        <f t="shared" si="0"/>
        <v>3542.9</v>
      </c>
      <c r="M17" s="315">
        <f t="shared" si="0"/>
        <v>3919.4</v>
      </c>
      <c r="N17" s="315">
        <f t="shared" si="0"/>
        <v>4289.2</v>
      </c>
      <c r="O17" s="315">
        <f t="shared" si="0"/>
        <v>4656.2</v>
      </c>
      <c r="P17" s="315">
        <f t="shared" si="0"/>
        <v>4996.3</v>
      </c>
      <c r="Q17" s="315">
        <f t="shared" si="0"/>
        <v>5289.5</v>
      </c>
      <c r="R17" s="315">
        <f t="shared" si="0"/>
        <v>5618.1</v>
      </c>
      <c r="S17" s="315">
        <f t="shared" si="0"/>
        <v>5788.34</v>
      </c>
      <c r="T17" s="316">
        <f>AVERAGE(T6:T15)</f>
        <v>6067.6</v>
      </c>
      <c r="U17" s="316">
        <f>AVERAGE(U6:U15)</f>
        <v>6397.5</v>
      </c>
      <c r="V17" s="316">
        <f>AVERAGE(V6:V15)</f>
        <v>6657.9</v>
      </c>
      <c r="W17" s="316">
        <f>AVERAGE(W6:W15)</f>
        <v>6928.4</v>
      </c>
      <c r="X17" s="317">
        <f>AVERAGE(X6:X15)</f>
        <v>7232.710000000001</v>
      </c>
      <c r="Y17" s="21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2" customHeight="1">
      <c r="A18" s="41"/>
      <c r="B18" s="392"/>
      <c r="C18" s="41">
        <f aca="true" t="shared" si="1" ref="C18:U18">((C17-B17)/B17)</f>
        <v>0.08789986091794152</v>
      </c>
      <c r="D18" s="41">
        <f t="shared" si="1"/>
        <v>0.09179238046535419</v>
      </c>
      <c r="E18" s="41">
        <f t="shared" si="1"/>
        <v>0.042271662763466014</v>
      </c>
      <c r="F18" s="41">
        <f t="shared" si="1"/>
        <v>0.06841927873272674</v>
      </c>
      <c r="G18" s="41">
        <f t="shared" si="1"/>
        <v>0.09453207150368036</v>
      </c>
      <c r="H18" s="39">
        <f t="shared" si="1"/>
        <v>0.15894898645403008</v>
      </c>
      <c r="I18" s="39">
        <f t="shared" si="1"/>
        <v>0.06697890330335313</v>
      </c>
      <c r="J18" s="39">
        <f t="shared" si="1"/>
        <v>0.07959445286097186</v>
      </c>
      <c r="K18" s="39">
        <f>((K17-J17)/J17)</f>
        <v>0.11197466896948764</v>
      </c>
      <c r="L18" s="39">
        <f>((L17-K17)/K17)</f>
        <v>0.03177905772715507</v>
      </c>
      <c r="M18" s="39">
        <f t="shared" si="1"/>
        <v>0.10626887577972847</v>
      </c>
      <c r="N18" s="39">
        <f t="shared" si="1"/>
        <v>0.09435117620043877</v>
      </c>
      <c r="O18" s="39">
        <f t="shared" si="1"/>
        <v>0.0855637414902546</v>
      </c>
      <c r="P18" s="39">
        <f t="shared" si="1"/>
        <v>0.07304239508612181</v>
      </c>
      <c r="Q18" s="39">
        <f t="shared" si="1"/>
        <v>0.05868342573504389</v>
      </c>
      <c r="R18" s="39">
        <f t="shared" si="1"/>
        <v>0.06212307401455721</v>
      </c>
      <c r="S18" s="39">
        <f t="shared" si="1"/>
        <v>0.03030205941510471</v>
      </c>
      <c r="T18" s="39">
        <f t="shared" si="1"/>
        <v>0.04824526548198624</v>
      </c>
      <c r="U18" s="39">
        <f t="shared" si="1"/>
        <v>0.05437075614740583</v>
      </c>
      <c r="V18" s="39">
        <f>((V17-U17)/U17)</f>
        <v>0.04070339976553335</v>
      </c>
      <c r="W18" s="39">
        <f>((W17-V17)/V17)</f>
        <v>0.04062842638069061</v>
      </c>
      <c r="X18" s="39">
        <f>((X17-W17)/W17)</f>
        <v>0.04392211766064334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1" ht="12" customHeight="1">
      <c r="A19" s="41"/>
      <c r="B19" s="392"/>
      <c r="C19" s="41"/>
      <c r="D19" s="41"/>
      <c r="E19" s="41"/>
      <c r="F19" s="41"/>
      <c r="G19" s="41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</row>
    <row r="20" spans="1:41" ht="13.5" customHeight="1" thickBot="1">
      <c r="A20" s="31" t="s">
        <v>108</v>
      </c>
      <c r="B20" s="386"/>
      <c r="K20" s="33"/>
      <c r="L20" s="33"/>
      <c r="M20" s="33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41" ht="13.5" customHeight="1">
      <c r="A21" s="34" t="s">
        <v>32</v>
      </c>
      <c r="B21" s="393" t="s">
        <v>97</v>
      </c>
      <c r="C21" s="318" t="s">
        <v>98</v>
      </c>
      <c r="D21" s="183" t="s">
        <v>99</v>
      </c>
      <c r="E21" s="183" t="s">
        <v>100</v>
      </c>
      <c r="F21" s="183" t="s">
        <v>101</v>
      </c>
      <c r="G21" s="183" t="s">
        <v>102</v>
      </c>
      <c r="H21" s="183" t="s">
        <v>103</v>
      </c>
      <c r="I21" s="183" t="s">
        <v>104</v>
      </c>
      <c r="J21" s="183" t="s">
        <v>105</v>
      </c>
      <c r="K21" s="183" t="s">
        <v>106</v>
      </c>
      <c r="L21" s="183" t="s">
        <v>95</v>
      </c>
      <c r="M21" s="183" t="s">
        <v>92</v>
      </c>
      <c r="N21" s="183" t="s">
        <v>93</v>
      </c>
      <c r="O21" s="183" t="s">
        <v>270</v>
      </c>
      <c r="P21" s="183" t="s">
        <v>304</v>
      </c>
      <c r="Q21" s="183" t="s">
        <v>308</v>
      </c>
      <c r="R21" s="183" t="s">
        <v>328</v>
      </c>
      <c r="S21" s="183" t="s">
        <v>341</v>
      </c>
      <c r="T21" s="183" t="s">
        <v>357</v>
      </c>
      <c r="U21" s="183" t="s">
        <v>373</v>
      </c>
      <c r="V21" s="183" t="s">
        <v>391</v>
      </c>
      <c r="W21" s="183" t="s">
        <v>442</v>
      </c>
      <c r="X21" s="299" t="s">
        <v>513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</row>
    <row r="22" spans="1:41" ht="18" customHeight="1">
      <c r="A22" s="35" t="s">
        <v>4</v>
      </c>
      <c r="B22" s="389">
        <v>4732</v>
      </c>
      <c r="C22" s="33">
        <v>4938</v>
      </c>
      <c r="D22" s="33">
        <v>5150</v>
      </c>
      <c r="E22" s="33">
        <v>5382</v>
      </c>
      <c r="F22" s="33">
        <v>6040</v>
      </c>
      <c r="G22" s="33">
        <v>6764</v>
      </c>
      <c r="H22" s="33">
        <v>7981</v>
      </c>
      <c r="I22" s="33">
        <v>8659</v>
      </c>
      <c r="J22" s="33">
        <v>9537</v>
      </c>
      <c r="K22" s="33">
        <v>10113</v>
      </c>
      <c r="L22" s="33">
        <v>10828</v>
      </c>
      <c r="M22" s="33">
        <v>11518</v>
      </c>
      <c r="N22" s="33">
        <v>12425</v>
      </c>
      <c r="O22" s="33">
        <v>13222</v>
      </c>
      <c r="P22" s="33">
        <v>13942</v>
      </c>
      <c r="Q22" s="33">
        <v>14492</v>
      </c>
      <c r="R22" s="33">
        <v>15276</v>
      </c>
      <c r="S22" s="33">
        <v>15336.3</v>
      </c>
      <c r="T22" s="245">
        <v>16000</v>
      </c>
      <c r="U22" s="245">
        <v>17606</v>
      </c>
      <c r="V22" s="245">
        <v>18435</v>
      </c>
      <c r="W22" s="245">
        <v>19075</v>
      </c>
      <c r="X22" s="213">
        <f>'4 YR'!I28</f>
        <v>20298.6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ht="18" customHeight="1">
      <c r="A23" s="35" t="s">
        <v>80</v>
      </c>
      <c r="B23" s="389">
        <v>3070</v>
      </c>
      <c r="C23" s="33">
        <v>3820</v>
      </c>
      <c r="D23" s="33">
        <v>3850</v>
      </c>
      <c r="E23" s="33">
        <v>3620</v>
      </c>
      <c r="F23" s="33">
        <v>5060</v>
      </c>
      <c r="G23" s="33">
        <v>5370</v>
      </c>
      <c r="H23" s="33">
        <v>6212</v>
      </c>
      <c r="I23" s="33">
        <v>6644</v>
      </c>
      <c r="J23" s="33">
        <v>6982</v>
      </c>
      <c r="K23" s="33">
        <v>9490</v>
      </c>
      <c r="L23" s="33">
        <v>10090</v>
      </c>
      <c r="M23" s="33">
        <v>10720</v>
      </c>
      <c r="N23" s="33">
        <v>11515</v>
      </c>
      <c r="O23" s="33">
        <v>12145</v>
      </c>
      <c r="P23" s="33">
        <v>12760</v>
      </c>
      <c r="Q23" s="33">
        <v>13390</v>
      </c>
      <c r="R23" s="33">
        <v>14290</v>
      </c>
      <c r="S23" s="33">
        <v>14290</v>
      </c>
      <c r="T23" s="245">
        <v>14860</v>
      </c>
      <c r="U23" s="245">
        <v>12238</v>
      </c>
      <c r="V23" s="245">
        <v>12610</v>
      </c>
      <c r="W23" s="245">
        <v>13120</v>
      </c>
      <c r="X23" s="213">
        <f>'4 YR'!I10</f>
        <v>13480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18" customHeight="1">
      <c r="A24" s="35" t="s">
        <v>5</v>
      </c>
      <c r="B24" s="389">
        <v>4652</v>
      </c>
      <c r="C24" s="33">
        <v>5030</v>
      </c>
      <c r="D24" s="33">
        <v>5532</v>
      </c>
      <c r="E24" s="33">
        <v>5862</v>
      </c>
      <c r="F24" s="33">
        <v>6108</v>
      </c>
      <c r="G24" s="33">
        <v>6177</v>
      </c>
      <c r="H24" s="33">
        <v>7860</v>
      </c>
      <c r="I24" s="33">
        <v>8295</v>
      </c>
      <c r="J24" s="33">
        <v>8670</v>
      </c>
      <c r="K24" s="33">
        <v>9143</v>
      </c>
      <c r="L24" s="33">
        <v>9826</v>
      </c>
      <c r="M24" s="33">
        <v>10538</v>
      </c>
      <c r="N24" s="33">
        <v>11437</v>
      </c>
      <c r="O24" s="33">
        <v>11513</v>
      </c>
      <c r="P24" s="33">
        <v>12726</v>
      </c>
      <c r="Q24" s="33">
        <v>13232</v>
      </c>
      <c r="R24" s="33">
        <v>14303</v>
      </c>
      <c r="S24" s="33">
        <v>14798.4</v>
      </c>
      <c r="T24" s="245">
        <v>15590</v>
      </c>
      <c r="U24" s="245">
        <v>16550</v>
      </c>
      <c r="V24" s="245">
        <v>17213</v>
      </c>
      <c r="W24" s="245">
        <v>18076</v>
      </c>
      <c r="X24" s="213">
        <f>'4 YR'!I50</f>
        <v>19115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41" ht="18" customHeight="1">
      <c r="A25" s="35" t="s">
        <v>8</v>
      </c>
      <c r="B25" s="389">
        <v>2966</v>
      </c>
      <c r="C25" s="33">
        <v>3274</v>
      </c>
      <c r="D25" s="33">
        <v>3586</v>
      </c>
      <c r="E25" s="33">
        <v>3824</v>
      </c>
      <c r="F25" s="33">
        <v>4364</v>
      </c>
      <c r="G25" s="33">
        <v>4912</v>
      </c>
      <c r="H25" s="33">
        <v>5536</v>
      </c>
      <c r="I25" s="33">
        <v>5904</v>
      </c>
      <c r="J25" s="33">
        <v>6144</v>
      </c>
      <c r="K25" s="33">
        <v>6798</v>
      </c>
      <c r="L25" s="33">
        <v>7302</v>
      </c>
      <c r="M25" s="33">
        <v>7817</v>
      </c>
      <c r="N25" s="33">
        <v>8609</v>
      </c>
      <c r="O25" s="33">
        <v>10255</v>
      </c>
      <c r="P25" s="33">
        <v>10705</v>
      </c>
      <c r="Q25" s="33">
        <v>11045</v>
      </c>
      <c r="R25" s="33">
        <v>11605</v>
      </c>
      <c r="S25" s="33">
        <v>11903</v>
      </c>
      <c r="T25" s="245">
        <v>12143</v>
      </c>
      <c r="U25" s="245">
        <v>12569</v>
      </c>
      <c r="V25" s="245">
        <v>12830</v>
      </c>
      <c r="W25" s="245">
        <v>13340</v>
      </c>
      <c r="X25" s="213">
        <f>'4 YR'!I91</f>
        <v>13806.3</v>
      </c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</row>
    <row r="26" spans="1:41" ht="18" customHeight="1">
      <c r="A26" s="35" t="s">
        <v>1</v>
      </c>
      <c r="B26" s="389">
        <v>3060</v>
      </c>
      <c r="C26" s="33">
        <v>3360</v>
      </c>
      <c r="D26" s="33">
        <v>3540</v>
      </c>
      <c r="E26" s="33">
        <v>3730</v>
      </c>
      <c r="F26" s="33">
        <v>3894</v>
      </c>
      <c r="G26" s="33">
        <v>4142</v>
      </c>
      <c r="H26" s="33">
        <v>4466</v>
      </c>
      <c r="I26" s="33">
        <v>4814</v>
      </c>
      <c r="J26" s="33">
        <v>5356</v>
      </c>
      <c r="K26" s="33">
        <v>5762</v>
      </c>
      <c r="L26" s="33">
        <v>6332</v>
      </c>
      <c r="M26" s="33">
        <v>7360</v>
      </c>
      <c r="N26" s="33">
        <v>8626</v>
      </c>
      <c r="O26" s="33">
        <v>8990</v>
      </c>
      <c r="P26" s="33">
        <v>9350</v>
      </c>
      <c r="Q26" s="33">
        <v>9710</v>
      </c>
      <c r="R26" s="33">
        <v>10260</v>
      </c>
      <c r="S26" s="33">
        <v>10620</v>
      </c>
      <c r="T26" s="245">
        <v>11008</v>
      </c>
      <c r="U26" s="245">
        <v>11658</v>
      </c>
      <c r="V26" s="245">
        <v>12138</v>
      </c>
      <c r="W26" s="245">
        <v>12888</v>
      </c>
      <c r="X26" s="213">
        <f>'4 YR'!I16</f>
        <v>13518</v>
      </c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ht="18" customHeight="1">
      <c r="A27" s="35" t="s">
        <v>2</v>
      </c>
      <c r="B27" s="389">
        <v>2920</v>
      </c>
      <c r="C27" s="33">
        <v>3188</v>
      </c>
      <c r="D27" s="33">
        <v>3616</v>
      </c>
      <c r="E27" s="33">
        <v>3828</v>
      </c>
      <c r="F27" s="33">
        <v>3882</v>
      </c>
      <c r="G27" s="33">
        <v>4136</v>
      </c>
      <c r="H27" s="33">
        <v>4473</v>
      </c>
      <c r="I27" s="33">
        <v>5923</v>
      </c>
      <c r="J27" s="33">
        <v>5315</v>
      </c>
      <c r="K27" s="33">
        <v>5765</v>
      </c>
      <c r="L27" s="33">
        <v>6204</v>
      </c>
      <c r="M27" s="33">
        <v>7231</v>
      </c>
      <c r="N27" s="33">
        <v>7808</v>
      </c>
      <c r="O27" s="33">
        <v>8695</v>
      </c>
      <c r="P27" s="33">
        <v>9620</v>
      </c>
      <c r="Q27" s="33">
        <v>10309</v>
      </c>
      <c r="R27" s="33">
        <v>10944</v>
      </c>
      <c r="S27" s="33">
        <v>11303.5</v>
      </c>
      <c r="T27" s="245">
        <v>11784</v>
      </c>
      <c r="U27" s="245">
        <v>12324</v>
      </c>
      <c r="V27" s="245">
        <v>12864</v>
      </c>
      <c r="W27" s="245">
        <v>13404</v>
      </c>
      <c r="X27" s="213">
        <f>'4 YR'!I20</f>
        <v>13921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ht="18" customHeight="1">
      <c r="A28" s="35" t="s">
        <v>3</v>
      </c>
      <c r="B28" s="389">
        <v>2150</v>
      </c>
      <c r="C28" s="33">
        <v>2368</v>
      </c>
      <c r="D28" s="33">
        <v>2574</v>
      </c>
      <c r="E28" s="33">
        <v>2686</v>
      </c>
      <c r="F28" s="33">
        <v>2782</v>
      </c>
      <c r="G28" s="33">
        <v>2926</v>
      </c>
      <c r="H28" s="33">
        <v>3118</v>
      </c>
      <c r="I28" s="33">
        <v>3380</v>
      </c>
      <c r="J28" s="33">
        <v>3732</v>
      </c>
      <c r="K28" s="33">
        <v>4050</v>
      </c>
      <c r="L28" s="33">
        <v>4542</v>
      </c>
      <c r="M28" s="33">
        <v>5240</v>
      </c>
      <c r="N28" s="33">
        <v>5678</v>
      </c>
      <c r="O28" s="181">
        <v>6300</v>
      </c>
      <c r="P28" s="33">
        <v>7080</v>
      </c>
      <c r="Q28" s="33">
        <v>7534</v>
      </c>
      <c r="R28" s="33">
        <v>8106</v>
      </c>
      <c r="S28" s="33">
        <v>8706</v>
      </c>
      <c r="T28" s="245">
        <v>9186</v>
      </c>
      <c r="U28" s="245">
        <v>9666</v>
      </c>
      <c r="V28" s="245">
        <v>10176</v>
      </c>
      <c r="W28" s="245">
        <v>10536</v>
      </c>
      <c r="X28" s="213">
        <f>'4 YR'!I24</f>
        <v>11106</v>
      </c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ht="18" customHeight="1">
      <c r="A29" s="35" t="s">
        <v>83</v>
      </c>
      <c r="B29" s="389"/>
      <c r="C29" s="33"/>
      <c r="D29" s="33"/>
      <c r="E29" s="33"/>
      <c r="F29" s="33"/>
      <c r="G29" s="33"/>
      <c r="H29" s="33"/>
      <c r="I29" s="33"/>
      <c r="J29" s="33"/>
      <c r="K29" s="33"/>
      <c r="L29" s="33">
        <v>6480</v>
      </c>
      <c r="M29" s="33">
        <v>6840</v>
      </c>
      <c r="N29" s="33">
        <v>7380</v>
      </c>
      <c r="O29" s="33">
        <v>7720</v>
      </c>
      <c r="P29" s="33">
        <v>8170</v>
      </c>
      <c r="Q29" s="33">
        <v>8950</v>
      </c>
      <c r="R29" s="33">
        <v>9600</v>
      </c>
      <c r="S29" s="33">
        <v>10000</v>
      </c>
      <c r="T29" s="245">
        <v>10888</v>
      </c>
      <c r="U29" s="245">
        <v>11717</v>
      </c>
      <c r="V29" s="245">
        <v>12186</v>
      </c>
      <c r="W29" s="245">
        <v>12555</v>
      </c>
      <c r="X29" s="213">
        <f>'4 YR'!I48</f>
        <v>13192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41" ht="18" customHeight="1">
      <c r="A30" s="35" t="s">
        <v>6</v>
      </c>
      <c r="B30" s="389">
        <v>3324</v>
      </c>
      <c r="C30" s="33">
        <v>3492</v>
      </c>
      <c r="D30" s="33">
        <v>3720</v>
      </c>
      <c r="E30" s="33">
        <v>3898</v>
      </c>
      <c r="F30" s="33">
        <v>4114</v>
      </c>
      <c r="G30" s="33">
        <v>4522</v>
      </c>
      <c r="H30" s="33">
        <v>4906</v>
      </c>
      <c r="I30" s="33">
        <v>5290</v>
      </c>
      <c r="J30" s="33">
        <v>5620</v>
      </c>
      <c r="K30" s="33">
        <v>6025</v>
      </c>
      <c r="L30" s="33">
        <v>6415</v>
      </c>
      <c r="M30" s="33">
        <v>6805</v>
      </c>
      <c r="N30" s="33">
        <v>7195</v>
      </c>
      <c r="O30" s="33">
        <v>7660</v>
      </c>
      <c r="P30" s="33">
        <v>8080</v>
      </c>
      <c r="Q30" s="33">
        <v>8230</v>
      </c>
      <c r="R30" s="33">
        <v>8770</v>
      </c>
      <c r="S30" s="33">
        <v>9010</v>
      </c>
      <c r="T30" s="245">
        <v>9640</v>
      </c>
      <c r="U30" s="245">
        <v>10510</v>
      </c>
      <c r="V30" s="245">
        <v>11050</v>
      </c>
      <c r="W30" s="245">
        <v>11590</v>
      </c>
      <c r="X30" s="213">
        <f>'4 YR'!I60</f>
        <v>12052</v>
      </c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</row>
    <row r="31" spans="1:41" ht="18" customHeight="1">
      <c r="A31" s="319" t="s">
        <v>7</v>
      </c>
      <c r="B31" s="390">
        <v>3334</v>
      </c>
      <c r="C31" s="182">
        <v>3468</v>
      </c>
      <c r="D31" s="182">
        <v>3732</v>
      </c>
      <c r="E31" s="182">
        <v>3900</v>
      </c>
      <c r="F31" s="182">
        <v>4068</v>
      </c>
      <c r="G31" s="182">
        <v>4301</v>
      </c>
      <c r="H31" s="182">
        <v>4994</v>
      </c>
      <c r="I31" s="182">
        <v>5262</v>
      </c>
      <c r="J31" s="182">
        <v>6240</v>
      </c>
      <c r="K31" s="182">
        <v>6509</v>
      </c>
      <c r="L31" s="182">
        <v>6989</v>
      </c>
      <c r="M31" s="182">
        <v>7437</v>
      </c>
      <c r="N31" s="182">
        <v>8018</v>
      </c>
      <c r="O31" s="182">
        <v>8439</v>
      </c>
      <c r="P31" s="182">
        <v>8864</v>
      </c>
      <c r="Q31" s="182">
        <v>8909</v>
      </c>
      <c r="R31" s="182">
        <v>9236</v>
      </c>
      <c r="S31" s="182">
        <v>9476</v>
      </c>
      <c r="T31" s="321">
        <v>9983</v>
      </c>
      <c r="U31" s="321">
        <v>10595</v>
      </c>
      <c r="V31" s="321">
        <v>10947</v>
      </c>
      <c r="W31" s="321">
        <v>11424</v>
      </c>
      <c r="X31" s="214">
        <f>'4 YR'!I87</f>
        <v>11626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  <row r="32" spans="1:41" ht="13.5" customHeight="1" thickBot="1">
      <c r="A32" s="314" t="s">
        <v>107</v>
      </c>
      <c r="B32" s="391">
        <f aca="true" t="shared" si="2" ref="B32:V32">AVERAGE(B22:B31)</f>
        <v>3356.4444444444443</v>
      </c>
      <c r="C32" s="315">
        <f t="shared" si="2"/>
        <v>3659.777777777778</v>
      </c>
      <c r="D32" s="315">
        <f t="shared" si="2"/>
        <v>3922.222222222222</v>
      </c>
      <c r="E32" s="315">
        <f t="shared" si="2"/>
        <v>4081.1111111111113</v>
      </c>
      <c r="F32" s="315">
        <f t="shared" si="2"/>
        <v>4479.111111111111</v>
      </c>
      <c r="G32" s="315">
        <f t="shared" si="2"/>
        <v>4805.555555555556</v>
      </c>
      <c r="H32" s="315">
        <f t="shared" si="2"/>
        <v>5505.111111111111</v>
      </c>
      <c r="I32" s="315">
        <f t="shared" si="2"/>
        <v>6019</v>
      </c>
      <c r="J32" s="315">
        <f t="shared" si="2"/>
        <v>6399.555555555556</v>
      </c>
      <c r="K32" s="315">
        <f t="shared" si="2"/>
        <v>7072.777777777777</v>
      </c>
      <c r="L32" s="315">
        <f t="shared" si="2"/>
        <v>7500.8</v>
      </c>
      <c r="M32" s="322">
        <f t="shared" si="2"/>
        <v>8150.6</v>
      </c>
      <c r="N32" s="315">
        <f t="shared" si="2"/>
        <v>8869.1</v>
      </c>
      <c r="O32" s="315">
        <f t="shared" si="2"/>
        <v>9493.9</v>
      </c>
      <c r="P32" s="315">
        <f t="shared" si="2"/>
        <v>10129.7</v>
      </c>
      <c r="Q32" s="315">
        <f t="shared" si="2"/>
        <v>10580.1</v>
      </c>
      <c r="R32" s="315">
        <f t="shared" si="2"/>
        <v>11239</v>
      </c>
      <c r="S32" s="315">
        <f t="shared" si="2"/>
        <v>11544.32</v>
      </c>
      <c r="T32" s="316">
        <f t="shared" si="2"/>
        <v>12108.2</v>
      </c>
      <c r="U32" s="316">
        <f t="shared" si="2"/>
        <v>12543.3</v>
      </c>
      <c r="V32" s="316">
        <f t="shared" si="2"/>
        <v>13044.9</v>
      </c>
      <c r="W32" s="316">
        <f>AVERAGE(W22:W31)</f>
        <v>13600.8</v>
      </c>
      <c r="X32" s="317">
        <f>AVERAGE(X22:X31)</f>
        <v>14211.49</v>
      </c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2:41" ht="12.75">
      <c r="B33" s="386"/>
      <c r="D33" s="42">
        <f aca="true" t="shared" si="3" ref="D33:U33">((D32-C32)/C32)</f>
        <v>0.07171048636832834</v>
      </c>
      <c r="E33" s="42">
        <f t="shared" si="3"/>
        <v>0.04050991501416437</v>
      </c>
      <c r="F33" s="42">
        <f t="shared" si="3"/>
        <v>0.09752246120337599</v>
      </c>
      <c r="G33" s="42">
        <f t="shared" si="3"/>
        <v>0.07288152411192694</v>
      </c>
      <c r="H33" s="39">
        <f t="shared" si="3"/>
        <v>0.14557225433526014</v>
      </c>
      <c r="I33" s="39">
        <f t="shared" si="3"/>
        <v>0.0933475961732531</v>
      </c>
      <c r="J33" s="39">
        <f t="shared" si="3"/>
        <v>0.06322571117387533</v>
      </c>
      <c r="K33" s="39">
        <f>((K32-J32)/J32)</f>
        <v>0.10519827765817062</v>
      </c>
      <c r="L33" s="39">
        <f>((L32-K32)/K32)</f>
        <v>0.060516848637184914</v>
      </c>
      <c r="M33" s="39">
        <f t="shared" si="3"/>
        <v>0.08663075938566556</v>
      </c>
      <c r="N33" s="39">
        <f t="shared" si="3"/>
        <v>0.08815301940961401</v>
      </c>
      <c r="O33" s="39">
        <f t="shared" si="3"/>
        <v>0.07044683226031945</v>
      </c>
      <c r="P33" s="39">
        <f t="shared" si="3"/>
        <v>0.0669693171404798</v>
      </c>
      <c r="Q33" s="39">
        <f t="shared" si="3"/>
        <v>0.0444633108581695</v>
      </c>
      <c r="R33" s="39">
        <f t="shared" si="3"/>
        <v>0.06227729416546154</v>
      </c>
      <c r="S33" s="39">
        <f>((S32-R32)/R32)</f>
        <v>0.027166117982026845</v>
      </c>
      <c r="T33" s="39">
        <f t="shared" si="3"/>
        <v>0.04884479986694765</v>
      </c>
      <c r="U33" s="39">
        <f t="shared" si="3"/>
        <v>0.03593432549842243</v>
      </c>
      <c r="V33" s="39">
        <f>((V32-U32)/U32)</f>
        <v>0.03998947645356488</v>
      </c>
      <c r="W33" s="39">
        <f>((W32-V32)/V32)</f>
        <v>0.04261435503530112</v>
      </c>
      <c r="X33" s="39">
        <f>((X32-W32)/W32)</f>
        <v>0.044901035233221614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2:41" ht="5.25" customHeight="1">
      <c r="B34" s="386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ht="12.75">
      <c r="A35" s="33"/>
      <c r="B35" s="386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</row>
    <row r="36" spans="1:41" ht="12.75">
      <c r="A36" s="33" t="s">
        <v>109</v>
      </c>
      <c r="B36" s="386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</row>
    <row r="37" spans="2:41" ht="12.75">
      <c r="B37" s="386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</row>
    <row r="38" ht="12.75">
      <c r="B38" s="386"/>
    </row>
    <row r="39" ht="12.75">
      <c r="B39" s="386"/>
    </row>
    <row r="40" ht="12.75">
      <c r="B40" s="386"/>
    </row>
    <row r="41" ht="12.75">
      <c r="B41" s="386"/>
    </row>
    <row r="42" ht="12.75">
      <c r="B42" s="386"/>
    </row>
    <row r="43" ht="12.75">
      <c r="B43" s="386"/>
    </row>
    <row r="44" ht="12.75">
      <c r="B44" s="386"/>
    </row>
    <row r="45" ht="12.75">
      <c r="B45" s="386"/>
    </row>
    <row r="46" ht="12.75">
      <c r="B46" s="386"/>
    </row>
    <row r="47" ht="12.75">
      <c r="B47" s="386"/>
    </row>
    <row r="48" ht="12.75">
      <c r="B48" s="386"/>
    </row>
    <row r="49" ht="12.75">
      <c r="B49" s="386"/>
    </row>
    <row r="50" ht="12.75">
      <c r="B50" s="386"/>
    </row>
    <row r="51" ht="12.75">
      <c r="B51" s="386"/>
    </row>
    <row r="52" ht="12.75">
      <c r="B52" s="386"/>
    </row>
    <row r="53" ht="12.75">
      <c r="B53" s="386"/>
    </row>
    <row r="54" ht="12.75">
      <c r="B54" s="386"/>
    </row>
    <row r="55" ht="12.75">
      <c r="B55" s="386"/>
    </row>
    <row r="56" ht="12.75">
      <c r="B56" s="386"/>
    </row>
    <row r="57" ht="12.75">
      <c r="B57" s="386"/>
    </row>
    <row r="58" ht="12.75">
      <c r="B58" s="386"/>
    </row>
    <row r="59" ht="12.75">
      <c r="B59" s="386"/>
    </row>
    <row r="60" ht="12.75">
      <c r="B60" s="386"/>
    </row>
    <row r="61" ht="12.75">
      <c r="B61" s="386"/>
    </row>
    <row r="62" ht="12.75">
      <c r="B62" s="386"/>
    </row>
    <row r="63" ht="12.75">
      <c r="B63" s="386"/>
    </row>
    <row r="64" ht="12.75">
      <c r="B64" s="386"/>
    </row>
    <row r="65" ht="12.75">
      <c r="B65" s="386" t="s">
        <v>546</v>
      </c>
    </row>
    <row r="66" ht="12.75">
      <c r="B66" s="386" t="s">
        <v>547</v>
      </c>
    </row>
    <row r="109" ht="16.5">
      <c r="A109" s="397"/>
    </row>
  </sheetData>
  <sheetProtection/>
  <printOptions horizontalCentered="1"/>
  <pageMargins left="0.35" right="0.25" top="0.38" bottom="0.31" header="0.39" footer="0.27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Vondra Buckingham</dc:creator>
  <cp:keywords/>
  <dc:description/>
  <cp:lastModifiedBy>Jake Eddington</cp:lastModifiedBy>
  <cp:lastPrinted>2014-10-03T19:58:41Z</cp:lastPrinted>
  <dcterms:created xsi:type="dcterms:W3CDTF">1999-09-20T14:40:04Z</dcterms:created>
  <dcterms:modified xsi:type="dcterms:W3CDTF">2015-12-04T21:25:26Z</dcterms:modified>
  <cp:category/>
  <cp:version/>
  <cp:contentType/>
  <cp:contentStatus/>
</cp:coreProperties>
</file>